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PA PHE DUYET -TRUNG THUY NONG\"/>
    </mc:Choice>
  </mc:AlternateContent>
  <bookViews>
    <workbookView xWindow="0" yWindow="0" windowWidth="28800" windowHeight="12435" activeTab="2"/>
  </bookViews>
  <sheets>
    <sheet name="TDP Cẩm sơn" sheetId="8" r:id="rId1"/>
    <sheet name="TDP Dâu Bùi" sheetId="7" r:id="rId2"/>
    <sheet name="TDP Lỗ xá" sheetId="4" r:id="rId3"/>
  </sheets>
  <definedNames>
    <definedName name="_xlnm._FilterDatabase" localSheetId="0" hidden="1">'TDP Cẩm sơn'!$A$5:$AA$36</definedName>
    <definedName name="_xlnm._FilterDatabase" localSheetId="1" hidden="1">'TDP Dâu Bùi'!$A$5:$X$34</definedName>
    <definedName name="_xlnm._FilterDatabase" localSheetId="2" hidden="1">'TDP Lỗ xá'!$A$5:$AA$34</definedName>
    <definedName name="_xlnm.Print_Area" localSheetId="0">'TDP Cẩm sơn'!$A$4:$R$34</definedName>
    <definedName name="_xlnm.Print_Area" localSheetId="1">'TDP Dâu Bùi'!$A$6:$D$27</definedName>
    <definedName name="_xlnm.Print_Area" localSheetId="2">'TDP Lỗ xá'!$C$4:$S$33</definedName>
    <definedName name="_xlnm.Print_Titles" localSheetId="1">'TDP Dâu Bùi'!$4:$5</definedName>
    <definedName name="_xlnm.Print_Titles" localSheetId="2">'TDP Lỗ xá'!$4:$4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34" i="8" l="1"/>
  <c r="Z8" i="8"/>
  <c r="Z10" i="8"/>
  <c r="Z11" i="8"/>
  <c r="Z13" i="8"/>
  <c r="Z16" i="8"/>
  <c r="Z17" i="8"/>
  <c r="Z18" i="8"/>
  <c r="Z19" i="8"/>
  <c r="Z22" i="8"/>
  <c r="Z23" i="8"/>
  <c r="Z24" i="8"/>
  <c r="Z25" i="8"/>
  <c r="Z26" i="8"/>
  <c r="Z28" i="8"/>
  <c r="Z30" i="8"/>
  <c r="Z31" i="8"/>
  <c r="Z32" i="8"/>
  <c r="Z33" i="8"/>
  <c r="X7" i="7"/>
  <c r="X9" i="7"/>
  <c r="X10" i="7"/>
  <c r="X11" i="7"/>
  <c r="X21" i="7"/>
  <c r="X24" i="7"/>
  <c r="A6" i="8" l="1"/>
  <c r="A7" i="8" s="1"/>
  <c r="P35" i="8"/>
  <c r="Q29" i="8"/>
  <c r="F29" i="8"/>
  <c r="J29" i="8" s="1"/>
  <c r="S29" i="8" s="1"/>
  <c r="T29" i="8" s="1"/>
  <c r="Y29" i="8" s="1"/>
  <c r="Q27" i="8"/>
  <c r="F27" i="8"/>
  <c r="J27" i="8" s="1"/>
  <c r="Q21" i="8"/>
  <c r="F21" i="8"/>
  <c r="J21" i="8" s="1"/>
  <c r="Q20" i="8"/>
  <c r="F20" i="8"/>
  <c r="J20" i="8" s="1"/>
  <c r="Q15" i="8"/>
  <c r="X15" i="8" s="1"/>
  <c r="F15" i="8"/>
  <c r="J15" i="8" s="1"/>
  <c r="Q14" i="8"/>
  <c r="F14" i="8"/>
  <c r="J14" i="8" s="1"/>
  <c r="Q12" i="8"/>
  <c r="G12" i="8"/>
  <c r="F12" i="8"/>
  <c r="Q9" i="8"/>
  <c r="F9" i="8"/>
  <c r="J9" i="8" s="1"/>
  <c r="Q7" i="8"/>
  <c r="F7" i="8"/>
  <c r="J7" i="8" s="1"/>
  <c r="Q6" i="8"/>
  <c r="V6" i="8" s="1"/>
  <c r="F6" i="8"/>
  <c r="J6" i="8" s="1"/>
  <c r="S15" i="8" l="1"/>
  <c r="T15" i="8" s="1"/>
  <c r="Y15" i="8" s="1"/>
  <c r="W9" i="8"/>
  <c r="X14" i="8"/>
  <c r="W29" i="8"/>
  <c r="W21" i="8"/>
  <c r="W7" i="8"/>
  <c r="W20" i="8"/>
  <c r="W27" i="8"/>
  <c r="X6" i="8"/>
  <c r="W12" i="8"/>
  <c r="W15" i="8"/>
  <c r="V27" i="8"/>
  <c r="A9" i="8"/>
  <c r="X7" i="8"/>
  <c r="X9" i="8"/>
  <c r="V12" i="8"/>
  <c r="X21" i="8"/>
  <c r="J12" i="8"/>
  <c r="S12" i="8" s="1"/>
  <c r="T12" i="8" s="1"/>
  <c r="Y12" i="8" s="1"/>
  <c r="X12" i="8"/>
  <c r="S7" i="8"/>
  <c r="T7" i="8" s="1"/>
  <c r="Y7" i="8" s="1"/>
  <c r="S9" i="8"/>
  <c r="T9" i="8" s="1"/>
  <c r="Y9" i="8" s="1"/>
  <c r="S21" i="8"/>
  <c r="T21" i="8" s="1"/>
  <c r="Y21" i="8" s="1"/>
  <c r="V20" i="8"/>
  <c r="V9" i="8"/>
  <c r="V15" i="8"/>
  <c r="X29" i="8"/>
  <c r="Q35" i="8"/>
  <c r="W6" i="8"/>
  <c r="S6" i="8"/>
  <c r="T6" i="8" s="1"/>
  <c r="Y6" i="8" s="1"/>
  <c r="V7" i="8"/>
  <c r="S20" i="8"/>
  <c r="T20" i="8" s="1"/>
  <c r="Y20" i="8" s="1"/>
  <c r="X20" i="8"/>
  <c r="V21" i="8"/>
  <c r="S27" i="8"/>
  <c r="T27" i="8" s="1"/>
  <c r="Y27" i="8" s="1"/>
  <c r="X27" i="8"/>
  <c r="V29" i="8"/>
  <c r="V14" i="8"/>
  <c r="W14" i="8"/>
  <c r="S14" i="8"/>
  <c r="T14" i="8" s="1"/>
  <c r="Y14" i="8" s="1"/>
  <c r="W35" i="8" l="1"/>
  <c r="Z7" i="8"/>
  <c r="Z9" i="8"/>
  <c r="Z6" i="8"/>
  <c r="Z21" i="8"/>
  <c r="Z15" i="8"/>
  <c r="Z29" i="8"/>
  <c r="Z12" i="8"/>
  <c r="Z27" i="8"/>
  <c r="Z14" i="8"/>
  <c r="Z20" i="8"/>
  <c r="A12" i="8"/>
  <c r="A14" i="8" s="1"/>
  <c r="X35" i="8"/>
  <c r="V35" i="8"/>
  <c r="Y35" i="8"/>
  <c r="A15" i="8" l="1"/>
  <c r="Z35" i="8"/>
  <c r="A20" i="8" l="1"/>
  <c r="S34" i="7"/>
  <c r="N34" i="7"/>
  <c r="A6" i="7"/>
  <c r="A21" i="8" l="1"/>
  <c r="A27" i="8" s="1"/>
  <c r="A8" i="7"/>
  <c r="A29" i="8" l="1"/>
  <c r="A12" i="7"/>
  <c r="A13" i="7" s="1"/>
  <c r="A14" i="7" l="1"/>
  <c r="A15" i="7" s="1"/>
  <c r="A16" i="7" l="1"/>
  <c r="A17" i="7" l="1"/>
  <c r="A18" i="7" s="1"/>
  <c r="A19" i="7" s="1"/>
  <c r="A20" i="7" s="1"/>
  <c r="A22" i="7" s="1"/>
  <c r="A23" i="7" s="1"/>
  <c r="A25" i="7" s="1"/>
  <c r="A26" i="7" s="1"/>
  <c r="A27" i="7" s="1"/>
  <c r="A28" i="7" s="1"/>
  <c r="A29" i="7" s="1"/>
  <c r="A30" i="7" s="1"/>
  <c r="A31" i="7" s="1"/>
  <c r="A32" i="7" s="1"/>
  <c r="A33" i="7" s="1"/>
  <c r="O28" i="7" l="1"/>
  <c r="V28" i="7" s="1"/>
  <c r="O29" i="7"/>
  <c r="V29" i="7" s="1"/>
  <c r="O30" i="7"/>
  <c r="V30" i="7" s="1"/>
  <c r="O31" i="7"/>
  <c r="V31" i="7" s="1"/>
  <c r="O32" i="7"/>
  <c r="V32" i="7" s="1"/>
  <c r="O33" i="7"/>
  <c r="V33" i="7" s="1"/>
  <c r="T31" i="7" l="1"/>
  <c r="U31" i="7"/>
  <c r="T30" i="7"/>
  <c r="U30" i="7"/>
  <c r="T33" i="7"/>
  <c r="T29" i="7"/>
  <c r="U33" i="7"/>
  <c r="U29" i="7"/>
  <c r="T32" i="7"/>
  <c r="T28" i="7"/>
  <c r="U32" i="7"/>
  <c r="U28" i="7"/>
  <c r="H33" i="7"/>
  <c r="Q33" i="7" s="1"/>
  <c r="R33" i="7" s="1"/>
  <c r="W33" i="7" s="1"/>
  <c r="H32" i="7"/>
  <c r="Q32" i="7" s="1"/>
  <c r="R32" i="7" s="1"/>
  <c r="W32" i="7" s="1"/>
  <c r="H31" i="7"/>
  <c r="Q31" i="7" s="1"/>
  <c r="R31" i="7" s="1"/>
  <c r="W31" i="7" s="1"/>
  <c r="H30" i="7"/>
  <c r="Q30" i="7" s="1"/>
  <c r="R30" i="7" s="1"/>
  <c r="W30" i="7" s="1"/>
  <c r="H29" i="7"/>
  <c r="Q29" i="7" s="1"/>
  <c r="R29" i="7" s="1"/>
  <c r="W29" i="7" s="1"/>
  <c r="H28" i="7"/>
  <c r="Q28" i="7" s="1"/>
  <c r="R28" i="7" s="1"/>
  <c r="W28" i="7" s="1"/>
  <c r="O27" i="7"/>
  <c r="V27" i="7" s="1"/>
  <c r="H27" i="7"/>
  <c r="O26" i="7"/>
  <c r="T26" i="7" s="1"/>
  <c r="H26" i="7"/>
  <c r="O25" i="7"/>
  <c r="U25" i="7" s="1"/>
  <c r="H25" i="7"/>
  <c r="O23" i="7"/>
  <c r="U23" i="7" s="1"/>
  <c r="H23" i="7"/>
  <c r="O22" i="7"/>
  <c r="U22" i="7" s="1"/>
  <c r="H22" i="7"/>
  <c r="O20" i="7"/>
  <c r="U20" i="7" s="1"/>
  <c r="H20" i="7"/>
  <c r="O19" i="7"/>
  <c r="U19" i="7" s="1"/>
  <c r="H19" i="7"/>
  <c r="O18" i="7"/>
  <c r="T18" i="7" s="1"/>
  <c r="H18" i="7"/>
  <c r="O17" i="7"/>
  <c r="U17" i="7" s="1"/>
  <c r="H17" i="7"/>
  <c r="O16" i="7"/>
  <c r="T16" i="7" s="1"/>
  <c r="H16" i="7"/>
  <c r="O15" i="7"/>
  <c r="U15" i="7" s="1"/>
  <c r="H15" i="7"/>
  <c r="O14" i="7"/>
  <c r="U14" i="7" s="1"/>
  <c r="H14" i="7"/>
  <c r="O13" i="7"/>
  <c r="U13" i="7" s="1"/>
  <c r="H13" i="7"/>
  <c r="O12" i="7"/>
  <c r="T12" i="7" s="1"/>
  <c r="H12" i="7"/>
  <c r="O8" i="7"/>
  <c r="T8" i="7" s="1"/>
  <c r="H8" i="7"/>
  <c r="O6" i="7"/>
  <c r="H6" i="7"/>
  <c r="X30" i="7" l="1"/>
  <c r="X32" i="7"/>
  <c r="X28" i="7"/>
  <c r="X29" i="7"/>
  <c r="X33" i="7"/>
  <c r="X31" i="7"/>
  <c r="V13" i="7"/>
  <c r="Q23" i="7"/>
  <c r="R23" i="7" s="1"/>
  <c r="W23" i="7" s="1"/>
  <c r="Q13" i="7"/>
  <c r="R13" i="7" s="1"/>
  <c r="W13" i="7" s="1"/>
  <c r="Q17" i="7"/>
  <c r="R17" i="7" s="1"/>
  <c r="W17" i="7" s="1"/>
  <c r="Q20" i="7"/>
  <c r="R20" i="7" s="1"/>
  <c r="W20" i="7" s="1"/>
  <c r="T6" i="7"/>
  <c r="O34" i="7"/>
  <c r="T19" i="7"/>
  <c r="V22" i="7"/>
  <c r="Q15" i="7"/>
  <c r="R15" i="7" s="1"/>
  <c r="W15" i="7" s="1"/>
  <c r="V17" i="7"/>
  <c r="V19" i="7"/>
  <c r="Q25" i="7"/>
  <c r="R25" i="7" s="1"/>
  <c r="W25" i="7" s="1"/>
  <c r="V14" i="7"/>
  <c r="V15" i="7"/>
  <c r="V23" i="7"/>
  <c r="V25" i="7"/>
  <c r="T13" i="7"/>
  <c r="X13" i="7" s="1"/>
  <c r="Q14" i="7"/>
  <c r="R14" i="7" s="1"/>
  <c r="W14" i="7" s="1"/>
  <c r="Q19" i="7"/>
  <c r="R19" i="7" s="1"/>
  <c r="W19" i="7" s="1"/>
  <c r="V20" i="7"/>
  <c r="Q22" i="7"/>
  <c r="R22" i="7" s="1"/>
  <c r="W22" i="7" s="1"/>
  <c r="T27" i="7"/>
  <c r="U8" i="7"/>
  <c r="U12" i="7"/>
  <c r="U16" i="7"/>
  <c r="X16" i="7" s="1"/>
  <c r="U26" i="7"/>
  <c r="Q6" i="7"/>
  <c r="R6" i="7" s="1"/>
  <c r="W6" i="7" s="1"/>
  <c r="V6" i="7"/>
  <c r="Q8" i="7"/>
  <c r="R8" i="7" s="1"/>
  <c r="W8" i="7" s="1"/>
  <c r="X8" i="7" s="1"/>
  <c r="V8" i="7"/>
  <c r="Q12" i="7"/>
  <c r="R12" i="7" s="1"/>
  <c r="W12" i="7" s="1"/>
  <c r="V12" i="7"/>
  <c r="T14" i="7"/>
  <c r="X14" i="7" s="1"/>
  <c r="Q16" i="7"/>
  <c r="R16" i="7" s="1"/>
  <c r="W16" i="7" s="1"/>
  <c r="V16" i="7"/>
  <c r="Q18" i="7"/>
  <c r="R18" i="7" s="1"/>
  <c r="W18" i="7" s="1"/>
  <c r="V18" i="7"/>
  <c r="T20" i="7"/>
  <c r="T22" i="7"/>
  <c r="Q26" i="7"/>
  <c r="R26" i="7" s="1"/>
  <c r="W26" i="7" s="1"/>
  <c r="V26" i="7"/>
  <c r="X26" i="7" s="1"/>
  <c r="U27" i="7"/>
  <c r="U6" i="7"/>
  <c r="U18" i="7"/>
  <c r="T15" i="7"/>
  <c r="X15" i="7" s="1"/>
  <c r="T17" i="7"/>
  <c r="T23" i="7"/>
  <c r="T25" i="7"/>
  <c r="X25" i="7" s="1"/>
  <c r="Q27" i="7"/>
  <c r="R27" i="7" s="1"/>
  <c r="W27" i="7" s="1"/>
  <c r="X18" i="7" l="1"/>
  <c r="X12" i="7"/>
  <c r="X17" i="7"/>
  <c r="X23" i="7"/>
  <c r="X22" i="7"/>
  <c r="X6" i="7"/>
  <c r="X19" i="7"/>
  <c r="X20" i="7"/>
  <c r="X27" i="7"/>
  <c r="W34" i="7"/>
  <c r="V34" i="7"/>
  <c r="U34" i="7"/>
  <c r="T34" i="7"/>
  <c r="X34" i="7" l="1"/>
  <c r="R27" i="4"/>
  <c r="R28" i="4"/>
  <c r="R29" i="4"/>
  <c r="R30" i="4"/>
  <c r="R31" i="4"/>
  <c r="R32" i="4"/>
  <c r="R33" i="4"/>
  <c r="R26" i="4"/>
  <c r="R14" i="4"/>
  <c r="R15" i="4"/>
  <c r="R16" i="4"/>
  <c r="R17" i="4"/>
  <c r="R18" i="4"/>
  <c r="R19" i="4"/>
  <c r="R20" i="4"/>
  <c r="R21" i="4"/>
  <c r="R22" i="4"/>
  <c r="R23" i="4"/>
  <c r="R24" i="4"/>
  <c r="R25" i="4"/>
  <c r="R13" i="4"/>
  <c r="R7" i="4"/>
  <c r="R8" i="4"/>
  <c r="R9" i="4"/>
  <c r="R10" i="4"/>
  <c r="R11" i="4"/>
  <c r="R12" i="4"/>
  <c r="R6" i="4"/>
  <c r="R34" i="4" l="1"/>
  <c r="Y24" i="4"/>
  <c r="W24" i="4"/>
  <c r="X24" i="4"/>
  <c r="Y16" i="4"/>
  <c r="W16" i="4"/>
  <c r="X16" i="4"/>
  <c r="Y32" i="4"/>
  <c r="W32" i="4"/>
  <c r="X32" i="4"/>
  <c r="W6" i="4"/>
  <c r="X6" i="4"/>
  <c r="Y6" i="4"/>
  <c r="X19" i="4"/>
  <c r="W19" i="4"/>
  <c r="Y19" i="4"/>
  <c r="X28" i="4"/>
  <c r="W28" i="4"/>
  <c r="Y28" i="4"/>
  <c r="Y12" i="4"/>
  <c r="W12" i="4"/>
  <c r="X12" i="4"/>
  <c r="Y8" i="4"/>
  <c r="W8" i="4"/>
  <c r="X8" i="4"/>
  <c r="W13" i="4"/>
  <c r="X13" i="4"/>
  <c r="Y13" i="4"/>
  <c r="Y22" i="4"/>
  <c r="X22" i="4"/>
  <c r="W22" i="4"/>
  <c r="W18" i="4"/>
  <c r="Y18" i="4"/>
  <c r="X18" i="4"/>
  <c r="W14" i="4"/>
  <c r="Y14" i="4"/>
  <c r="X14" i="4"/>
  <c r="W26" i="4"/>
  <c r="Y26" i="4"/>
  <c r="X26" i="4"/>
  <c r="W30" i="4"/>
  <c r="X30" i="4"/>
  <c r="Y30" i="4"/>
  <c r="Y27" i="4"/>
  <c r="W27" i="4"/>
  <c r="X27" i="4"/>
  <c r="Y10" i="4"/>
  <c r="X10" i="4"/>
  <c r="W10" i="4"/>
  <c r="Y20" i="4"/>
  <c r="W20" i="4"/>
  <c r="X20" i="4"/>
  <c r="Y29" i="4"/>
  <c r="W29" i="4"/>
  <c r="X29" i="4"/>
  <c r="X9" i="4"/>
  <c r="W9" i="4"/>
  <c r="Y9" i="4"/>
  <c r="X23" i="4"/>
  <c r="W23" i="4"/>
  <c r="Y23" i="4"/>
  <c r="X15" i="4"/>
  <c r="W15" i="4"/>
  <c r="Y15" i="4"/>
  <c r="X31" i="4"/>
  <c r="W31" i="4"/>
  <c r="Y31" i="4"/>
  <c r="X11" i="4"/>
  <c r="W11" i="4"/>
  <c r="Y11" i="4"/>
  <c r="X7" i="4"/>
  <c r="W7" i="4"/>
  <c r="Y7" i="4"/>
  <c r="W25" i="4"/>
  <c r="Y25" i="4"/>
  <c r="X25" i="4"/>
  <c r="X21" i="4"/>
  <c r="W21" i="4"/>
  <c r="Y21" i="4"/>
  <c r="Y17" i="4"/>
  <c r="X17" i="4"/>
  <c r="W17" i="4"/>
  <c r="X33" i="4"/>
  <c r="W33" i="4"/>
  <c r="Y33" i="4"/>
  <c r="J33" i="4" l="1"/>
  <c r="J26" i="4" l="1"/>
  <c r="J18" i="4" l="1"/>
  <c r="X34" i="4" l="1"/>
  <c r="Y34" i="4" l="1"/>
  <c r="W34" i="4"/>
  <c r="J32" i="4"/>
  <c r="J27" i="4" l="1"/>
  <c r="I27" i="4"/>
  <c r="I26" i="4"/>
  <c r="J24" i="4"/>
  <c r="J23" i="4"/>
  <c r="J22" i="4"/>
  <c r="J20" i="4"/>
  <c r="J19" i="4"/>
  <c r="J14" i="4"/>
  <c r="J9" i="4"/>
  <c r="J7" i="4"/>
  <c r="J6" i="4"/>
  <c r="J11" i="4" l="1"/>
  <c r="A6" i="4" l="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I6" i="4"/>
  <c r="K6" i="4" s="1"/>
  <c r="T6" i="4" s="1"/>
  <c r="U6" i="4" s="1"/>
  <c r="Z6" i="4" s="1"/>
  <c r="AA6" i="4" s="1"/>
  <c r="I7" i="4"/>
  <c r="K7" i="4" s="1"/>
  <c r="T7" i="4" s="1"/>
  <c r="U7" i="4" s="1"/>
  <c r="Z7" i="4" s="1"/>
  <c r="AA7" i="4" s="1"/>
  <c r="I8" i="4"/>
  <c r="K8" i="4" s="1"/>
  <c r="T8" i="4" s="1"/>
  <c r="U8" i="4" s="1"/>
  <c r="Z8" i="4" s="1"/>
  <c r="AA8" i="4" s="1"/>
  <c r="I9" i="4"/>
  <c r="K9" i="4" s="1"/>
  <c r="T9" i="4" s="1"/>
  <c r="U9" i="4" s="1"/>
  <c r="Z9" i="4" s="1"/>
  <c r="AA9" i="4" s="1"/>
  <c r="I10" i="4"/>
  <c r="K10" i="4" s="1"/>
  <c r="T10" i="4" s="1"/>
  <c r="U10" i="4" s="1"/>
  <c r="Z10" i="4" s="1"/>
  <c r="AA10" i="4" s="1"/>
  <c r="I11" i="4"/>
  <c r="K11" i="4" s="1"/>
  <c r="T11" i="4" s="1"/>
  <c r="U11" i="4" s="1"/>
  <c r="Z11" i="4" s="1"/>
  <c r="AA11" i="4" s="1"/>
  <c r="I12" i="4"/>
  <c r="K12" i="4" s="1"/>
  <c r="T12" i="4" s="1"/>
  <c r="U12" i="4" s="1"/>
  <c r="Z12" i="4" s="1"/>
  <c r="AA12" i="4" s="1"/>
  <c r="I13" i="4"/>
  <c r="K13" i="4" s="1"/>
  <c r="T13" i="4" s="1"/>
  <c r="U13" i="4" s="1"/>
  <c r="Z13" i="4" s="1"/>
  <c r="AA13" i="4" s="1"/>
  <c r="I14" i="4"/>
  <c r="K14" i="4" s="1"/>
  <c r="T14" i="4" s="1"/>
  <c r="U14" i="4" s="1"/>
  <c r="Z14" i="4" s="1"/>
  <c r="AA14" i="4" s="1"/>
  <c r="I15" i="4"/>
  <c r="K15" i="4" s="1"/>
  <c r="T15" i="4" s="1"/>
  <c r="U15" i="4" s="1"/>
  <c r="Z15" i="4" s="1"/>
  <c r="AA15" i="4" s="1"/>
  <c r="I16" i="4"/>
  <c r="K16" i="4" s="1"/>
  <c r="T16" i="4" s="1"/>
  <c r="U16" i="4" s="1"/>
  <c r="Z16" i="4" s="1"/>
  <c r="AA16" i="4" s="1"/>
  <c r="I17" i="4"/>
  <c r="K17" i="4" s="1"/>
  <c r="T17" i="4" s="1"/>
  <c r="U17" i="4" s="1"/>
  <c r="Z17" i="4" s="1"/>
  <c r="AA17" i="4" s="1"/>
  <c r="I18" i="4"/>
  <c r="K18" i="4" s="1"/>
  <c r="T18" i="4" s="1"/>
  <c r="U18" i="4" s="1"/>
  <c r="Z18" i="4" s="1"/>
  <c r="AA18" i="4" s="1"/>
  <c r="I19" i="4"/>
  <c r="K19" i="4" s="1"/>
  <c r="T19" i="4" s="1"/>
  <c r="U19" i="4" s="1"/>
  <c r="Z19" i="4" s="1"/>
  <c r="AA19" i="4" s="1"/>
  <c r="I20" i="4"/>
  <c r="K20" i="4" s="1"/>
  <c r="T20" i="4" s="1"/>
  <c r="U20" i="4" s="1"/>
  <c r="Z20" i="4" s="1"/>
  <c r="AA20" i="4" s="1"/>
  <c r="I21" i="4"/>
  <c r="K21" i="4" s="1"/>
  <c r="T21" i="4" s="1"/>
  <c r="U21" i="4" s="1"/>
  <c r="Z21" i="4" s="1"/>
  <c r="AA21" i="4" s="1"/>
  <c r="I22" i="4"/>
  <c r="K22" i="4" s="1"/>
  <c r="T22" i="4" s="1"/>
  <c r="U22" i="4" s="1"/>
  <c r="Z22" i="4" s="1"/>
  <c r="AA22" i="4" s="1"/>
  <c r="I23" i="4"/>
  <c r="K23" i="4" s="1"/>
  <c r="T23" i="4" s="1"/>
  <c r="U23" i="4" s="1"/>
  <c r="Z23" i="4" s="1"/>
  <c r="AA23" i="4" s="1"/>
  <c r="I24" i="4"/>
  <c r="K24" i="4" s="1"/>
  <c r="T24" i="4" s="1"/>
  <c r="U24" i="4" s="1"/>
  <c r="Z24" i="4" s="1"/>
  <c r="AA24" i="4" s="1"/>
  <c r="I25" i="4"/>
  <c r="K25" i="4" s="1"/>
  <c r="T25" i="4" s="1"/>
  <c r="U25" i="4" s="1"/>
  <c r="Z25" i="4" s="1"/>
  <c r="AA25" i="4" s="1"/>
  <c r="K26" i="4"/>
  <c r="T26" i="4" s="1"/>
  <c r="U26" i="4" s="1"/>
  <c r="Z26" i="4" s="1"/>
  <c r="AA26" i="4" s="1"/>
  <c r="I28" i="4"/>
  <c r="K28" i="4" s="1"/>
  <c r="T28" i="4" s="1"/>
  <c r="U28" i="4" s="1"/>
  <c r="Z28" i="4" s="1"/>
  <c r="AA28" i="4" s="1"/>
  <c r="I29" i="4"/>
  <c r="K29" i="4" s="1"/>
  <c r="T29" i="4" s="1"/>
  <c r="U29" i="4" s="1"/>
  <c r="Z29" i="4" s="1"/>
  <c r="AA29" i="4" s="1"/>
  <c r="I30" i="4"/>
  <c r="K30" i="4" s="1"/>
  <c r="T30" i="4" s="1"/>
  <c r="U30" i="4" s="1"/>
  <c r="Z30" i="4" s="1"/>
  <c r="AA30" i="4" s="1"/>
  <c r="I31" i="4"/>
  <c r="K31" i="4" s="1"/>
  <c r="T31" i="4" s="1"/>
  <c r="U31" i="4" s="1"/>
  <c r="Z31" i="4" s="1"/>
  <c r="AA31" i="4" s="1"/>
  <c r="I32" i="4"/>
  <c r="K32" i="4" s="1"/>
  <c r="T32" i="4" s="1"/>
  <c r="U32" i="4" s="1"/>
  <c r="Z32" i="4" s="1"/>
  <c r="AA32" i="4" s="1"/>
  <c r="I33" i="4"/>
  <c r="K33" i="4" s="1"/>
  <c r="T33" i="4" s="1"/>
  <c r="U33" i="4" s="1"/>
  <c r="Z33" i="4" s="1"/>
  <c r="AA33" i="4" s="1"/>
  <c r="K27" i="4"/>
  <c r="T27" i="4" s="1"/>
  <c r="U27" i="4" s="1"/>
  <c r="Z27" i="4" s="1"/>
  <c r="AA27" i="4" s="1"/>
  <c r="AA34" i="4" l="1"/>
  <c r="Z34" i="4"/>
  <c r="Q34" i="4" l="1"/>
</calcChain>
</file>

<file path=xl/sharedStrings.xml><?xml version="1.0" encoding="utf-8"?>
<sst xmlns="http://schemas.openxmlformats.org/spreadsheetml/2006/main" count="482" uniqueCount="263">
  <si>
    <t>TT</t>
  </si>
  <si>
    <t>Loại đất</t>
  </si>
  <si>
    <t>LUC</t>
  </si>
  <si>
    <t>Tổng</t>
  </si>
  <si>
    <t xml:space="preserve">Địa chỉ </t>
  </si>
  <si>
    <t>Xứ đồng</t>
  </si>
  <si>
    <t>Cẩm sơn</t>
  </si>
  <si>
    <t>Giếng sẻ</t>
  </si>
  <si>
    <t>Đồng Trầm</t>
  </si>
  <si>
    <t>Đồng vang</t>
  </si>
  <si>
    <t>Đặng Thị Mợi</t>
  </si>
  <si>
    <t>Đồng dầu</t>
  </si>
  <si>
    <t>Ao len</t>
  </si>
  <si>
    <t>Bà đồ</t>
  </si>
  <si>
    <t>Chăn Nuôi</t>
  </si>
  <si>
    <t>Cửa nghè</t>
  </si>
  <si>
    <t>Đồng bầu</t>
  </si>
  <si>
    <t>Ba quan</t>
  </si>
  <si>
    <t>Dân công</t>
  </si>
  <si>
    <t>Lỗ xá</t>
  </si>
  <si>
    <t>Đồng đìa</t>
  </si>
  <si>
    <t>Đồng giác</t>
  </si>
  <si>
    <t>Khu ách</t>
  </si>
  <si>
    <t>Nguyễn Văn Thứ</t>
  </si>
  <si>
    <t>bà đồ</t>
  </si>
  <si>
    <t>Thông tin thửa đất thu hồi</t>
  </si>
  <si>
    <t>Suất được giao ruộng</t>
  </si>
  <si>
    <t>Số trang, STT</t>
  </si>
  <si>
    <t>Diện tích thu hồi (m²)</t>
  </si>
  <si>
    <t>DT được chia tại thửa</t>
  </si>
  <si>
    <t>ĐỘI</t>
  </si>
  <si>
    <t>Diện tích đang sử dụng (m2)</t>
  </si>
  <si>
    <t>Diện tích đã thu hồi (m2)</t>
  </si>
  <si>
    <t>DT được giao theo tiêu chuẩn (m2)</t>
  </si>
  <si>
    <t>DT công điền</t>
  </si>
  <si>
    <t>TDP Dâu Bùi</t>
  </si>
  <si>
    <t>xóm</t>
  </si>
  <si>
    <t>Sổ thôn Cẩm Sơn</t>
  </si>
  <si>
    <t>Tổng diện tích thu hồi (m²)</t>
  </si>
  <si>
    <t>Tổng DT còn đang sử dụng (m2)</t>
  </si>
  <si>
    <t>Nguyễn Văn Can (đã chết), 
Phạm Thị Minh (đã chết)</t>
  </si>
  <si>
    <t>Nguyễn Văn Khuê (đã chết), 
Vũ Thị Luyện, 
Nguyễn Xuân Khoa, 
Nguyễn Thị Ly, 
Hoàng Thị Dích (đã chết)</t>
  </si>
  <si>
    <t>Nguyễn Thị Nhì, 
Nguyễn Mạnh Trường, 
Nguyễn Thị Thu Hương, 
Nguyễn Văn Trị (đã chết)</t>
  </si>
  <si>
    <t>Nguyễn Văn Lể (đã chết), 
Nguyễn Thị Đàn (đã chết)</t>
  </si>
  <si>
    <t>Tỷ lệ % thu hồi</t>
  </si>
  <si>
    <t>Số tháng hỗ trợ</t>
  </si>
  <si>
    <t>Số nhân khẩu hỗ trợ</t>
  </si>
  <si>
    <t>CÁC KHOẢN BỒI THƯỜNG, HỖ TRỢ</t>
  </si>
  <si>
    <t>Bồi thường về đất
(100.000 đ/m2)</t>
  </si>
  <si>
    <t>Bồi thường hoa màu trên đất (Lúa: 10,000đ/m2)</t>
  </si>
  <si>
    <t>Hỗ trợ đào tạo, chuyển đổi nghề (3*100.000 đ/m2)</t>
  </si>
  <si>
    <t>Hỗ trợ ổn định đời sống (số tháng hỗ trợ x số nhân khẩu hỗ trợ x 30 kg x 17.000 đ/kg)</t>
  </si>
  <si>
    <t>Tổng BTHT (đồng)</t>
  </si>
  <si>
    <t>Vũ Thị Chinh, 
Nguyễn Như Mạnh (đã chết)</t>
  </si>
  <si>
    <t>Nguyễn Bá Chiến, 
Nguyễn Thị Nhung (đã chết), 
Nguyễn Bá Trường, 
Nguyễn Bá Đại</t>
  </si>
  <si>
    <t>Nguyễn Như Toan, 
Đặng Thị Miên (đã chết), 
Nguyễn Thị Ngọc Anh</t>
  </si>
  <si>
    <t>Nguyễn Thị Huê, 
Đào Duy Phượng (đã chết), 
Đào Duy Việt, 
Đào Duy Hòa, 
Đào Thanh Bình</t>
  </si>
  <si>
    <t>Vũ Thị Mai, 
Nguyễn Bá Luân</t>
  </si>
  <si>
    <t>Nguyễn Như Quý, 
Nguyễn Thị Quất, 
Nguyễn Như Trực (đã chết), 
Đặng Thị Mai (đã chết), 
Nguyễn Thị Mến, 
Nguyễn Như Minh</t>
  </si>
  <si>
    <t>Nguyễn Như Thắng, 
Nguyễn Thị Huệ</t>
  </si>
  <si>
    <t>Nguyễn Bá Chiêu, 
Nguyễn Thị Bẩy, 
Nguyễn Bá Chuẩn, 
Nguyễn Thị Huệ, 
Đào Thị Thẫm (đã chết)</t>
  </si>
  <si>
    <t>Nguyễn Như Dũng, 
Đào Thị Lưu, 
Nguyễn Thị Duyên, 
Nguyễn Thị Dáng, 
Nguyễn Như Tuấn</t>
  </si>
  <si>
    <t>Nguyễn Như Bẩy,
 Luyện Thị Khu, 
Nguyễn Như Huy, 
Nguyễn Thị Thanh (đã chết)</t>
  </si>
  <si>
    <t>Khúc Xuân Trung, 
Khúc Thị My, 
Khúc Xuân Kiên, 
Khúc Xuân Yên, 
Nguyễn Thị Truật (đã chết)</t>
  </si>
  <si>
    <t>Nguyễn Như Dược (đã chết), 
Vũ Thị An, 
Nguyễn Như Lợi, 
Nguyễn Như Lâm, 
Đào Thị Yên, 
Nguyễn Thị Loan</t>
  </si>
  <si>
    <t>Đặng Quang Quê, 
Đặng Phạm Cẩu (đã chết), 
Chu Thị Thao (đã chết), 
Đặng Thị Thư, 
Hoàng Thị Thúy, 
Đặng Văn Mạnh</t>
  </si>
  <si>
    <t>Nguyễn Khắc Nhị,
Lê Thị Thuận, 
Hoàng Thị Lệ (đã chết)</t>
  </si>
  <si>
    <t>Trịnh Thị Thảo</t>
  </si>
  <si>
    <t>Đặng Văn Hưng</t>
  </si>
  <si>
    <t xml:space="preserve">Trần Thị Hằng, </t>
  </si>
  <si>
    <t>Đặng Đình Mận</t>
  </si>
  <si>
    <t>Trần Thị Phượng</t>
  </si>
  <si>
    <t xml:space="preserve">Trần Kim Cường, </t>
  </si>
  <si>
    <t xml:space="preserve">Trần Thị Hà, </t>
  </si>
  <si>
    <t xml:space="preserve">Trần Thị Loan, </t>
  </si>
  <si>
    <t>Trần Thị Kim Ngọc</t>
  </si>
  <si>
    <t xml:space="preserve">Trần Thị Sen, </t>
  </si>
  <si>
    <t xml:space="preserve">Trần Thị Thủy, </t>
  </si>
  <si>
    <t xml:space="preserve">Trần Thị Phương, </t>
  </si>
  <si>
    <t xml:space="preserve">Trần Xuân Sơn, </t>
  </si>
  <si>
    <t>Đỗ Thị Nhung</t>
  </si>
  <si>
    <t xml:space="preserve">Đặng Văn Phương, </t>
  </si>
  <si>
    <t>Đặng Thị Hiền</t>
  </si>
  <si>
    <t xml:space="preserve">Đặng Văn Toàn, </t>
  </si>
  <si>
    <t xml:space="preserve">Đặng Đình Liệu, </t>
  </si>
  <si>
    <t>Phạm Tuấn Anh</t>
  </si>
  <si>
    <t xml:space="preserve">Phạm Văn Cải, </t>
  </si>
  <si>
    <t>Nguyễn Đức Việt</t>
  </si>
  <si>
    <t xml:space="preserve">Nguyễn Thị Thanh, </t>
  </si>
  <si>
    <t xml:space="preserve">Nguyễn Thu Thủy, </t>
  </si>
  <si>
    <t>Đỗ Trọng Ánh  (đã chết), 
Khúc Thị Oanh, 
Đào Thị Dung, 
Đỗ Trọng Kiên, 
Đỗ Thị Hương, 
Đỗ Trọng Nguyện</t>
  </si>
  <si>
    <t>đợt</t>
  </si>
  <si>
    <t xml:space="preserve">Đặng Đình Pháo (đã chết), </t>
  </si>
  <si>
    <t>Chu Tuấn Sớ, 
Nguyễn Thị Lơ, 
Đặng Thị Nùn (đã chết), 
Chu Thị Liễu, 
Chu Thị Hương, 
Chu Thị Hằng, 
Chu Thị Nga, 
Chu Thị Nam</t>
  </si>
  <si>
    <t>số CC/CCCD</t>
  </si>
  <si>
    <t>Số điện thoại</t>
  </si>
  <si>
    <t xml:space="preserve">033076004464
</t>
  </si>
  <si>
    <t>033160006195</t>
  </si>
  <si>
    <t>033072011388</t>
  </si>
  <si>
    <t>033172008909</t>
  </si>
  <si>
    <t>0383372420</t>
  </si>
  <si>
    <t>033092013610</t>
  </si>
  <si>
    <t>033176003247</t>
  </si>
  <si>
    <t>0977208492</t>
  </si>
  <si>
    <t>033069000159</t>
  </si>
  <si>
    <t>033142000588</t>
  </si>
  <si>
    <t>033052001421</t>
  </si>
  <si>
    <t>033158000426</t>
  </si>
  <si>
    <t>033177005509</t>
  </si>
  <si>
    <t>033079010337</t>
  </si>
  <si>
    <t>033182003929</t>
  </si>
  <si>
    <t xml:space="preserve">
'033174002480</t>
  </si>
  <si>
    <t>033159012693</t>
  </si>
  <si>
    <t>0339279045</t>
  </si>
  <si>
    <t>033060000136</t>
  </si>
  <si>
    <t>0976840720</t>
  </si>
  <si>
    <t>033187003407</t>
  </si>
  <si>
    <t>033185012957</t>
  </si>
  <si>
    <t>033183012225</t>
  </si>
  <si>
    <t>0977952583</t>
  </si>
  <si>
    <t>033190009660</t>
  </si>
  <si>
    <t>033073006493</t>
  </si>
  <si>
    <t>033174006659</t>
  </si>
  <si>
    <t>0379059152</t>
  </si>
  <si>
    <t>033155009032</t>
  </si>
  <si>
    <t>033080013542</t>
  </si>
  <si>
    <t>0978557812</t>
  </si>
  <si>
    <t>033189013502</t>
  </si>
  <si>
    <t>Số CC/CCCD</t>
  </si>
  <si>
    <t>033055002143</t>
  </si>
  <si>
    <t>0978757514</t>
  </si>
  <si>
    <t>033062010902</t>
  </si>
  <si>
    <t>0976431193</t>
  </si>
  <si>
    <t>033166008851</t>
  </si>
  <si>
    <t>033188006805</t>
  </si>
  <si>
    <t>033089011340</t>
  </si>
  <si>
    <t xml:space="preserve">033057003163
033158005644
033181006317
033082014297
033186015031
</t>
  </si>
  <si>
    <t>033071012053
033173012295
033192010974</t>
  </si>
  <si>
    <t>0374408806
0373401236
0989326890</t>
  </si>
  <si>
    <t xml:space="preserve">030162012401
033083005756
033187005413
033191010389
</t>
  </si>
  <si>
    <t xml:space="preserve">0377146657
0965122318
</t>
  </si>
  <si>
    <t>033157008650
033080002168
033187008628</t>
  </si>
  <si>
    <t xml:space="preserve">0365937505
</t>
  </si>
  <si>
    <t xml:space="preserve">033163005729
033082001153
033090003428
</t>
  </si>
  <si>
    <t xml:space="preserve">033155002497
</t>
  </si>
  <si>
    <t xml:space="preserve">0343165389
</t>
  </si>
  <si>
    <t xml:space="preserve">
'033150006163
033076006774
033078010625</t>
  </si>
  <si>
    <t>033060013383
033083062444
033081016018
033162010523</t>
  </si>
  <si>
    <t xml:space="preserve">0348896038
0986494023
</t>
  </si>
  <si>
    <t>033078000754</t>
  </si>
  <si>
    <t>0979336603</t>
  </si>
  <si>
    <t>033055007033
033078001850
033081006687
033083003172
033156009153</t>
  </si>
  <si>
    <t xml:space="preserve">0344152036
</t>
  </si>
  <si>
    <t>0385485751</t>
  </si>
  <si>
    <t xml:space="preserve">033156009331
033083013816
033181003671
</t>
  </si>
  <si>
    <t xml:space="preserve">0356810585
</t>
  </si>
  <si>
    <t>033067002577
033038004910
033168003119
033089003627
033191005746</t>
  </si>
  <si>
    <t xml:space="preserve">0974549970
</t>
  </si>
  <si>
    <t xml:space="preserve">033063000806
033166010754
033090013574
033087001387
</t>
  </si>
  <si>
    <t xml:space="preserve">0378445095
</t>
  </si>
  <si>
    <t xml:space="preserve">033063003640
033163003387
033083015272
033184002290
</t>
  </si>
  <si>
    <t xml:space="preserve">0972214518
</t>
  </si>
  <si>
    <t xml:space="preserve">033151001967
033175014236
033177000657
033080002445
033082008344
</t>
  </si>
  <si>
    <t>0867862268</t>
  </si>
  <si>
    <t>033166003879
033087001319</t>
  </si>
  <si>
    <t xml:space="preserve">0367960309
</t>
  </si>
  <si>
    <t xml:space="preserve">033162002554
</t>
  </si>
  <si>
    <t xml:space="preserve">
0365296399
0975745143
</t>
  </si>
  <si>
    <t>Họ và tên chủ sử dụng đất</t>
  </si>
  <si>
    <t xml:space="preserve">033167007320
</t>
  </si>
  <si>
    <t xml:space="preserve">0386745313
</t>
  </si>
  <si>
    <t>033058009427
033090018101</t>
  </si>
  <si>
    <t>033062012015
033186012264</t>
  </si>
  <si>
    <t xml:space="preserve">0974386145
</t>
  </si>
  <si>
    <t xml:space="preserve">
033154008652
033077002835
033081000834
033083007042
</t>
  </si>
  <si>
    <t xml:space="preserve">0352386108
</t>
  </si>
  <si>
    <t>033170000575
033089016335</t>
  </si>
  <si>
    <t xml:space="preserve">
033064003003</t>
  </si>
  <si>
    <t xml:space="preserve">
0357677968
0974774209</t>
  </si>
  <si>
    <t xml:space="preserve">033055000628
033157010458
</t>
  </si>
  <si>
    <t xml:space="preserve">0962630953
0328003701
</t>
  </si>
  <si>
    <t>033076005503
033178011031</t>
  </si>
  <si>
    <t xml:space="preserve">0358218429
</t>
  </si>
  <si>
    <t xml:space="preserve">033168004278
</t>
  </si>
  <si>
    <t xml:space="preserve">0855887875
</t>
  </si>
  <si>
    <t xml:space="preserve">033066004455
033168004276
</t>
  </si>
  <si>
    <t xml:space="preserve">0325711300
</t>
  </si>
  <si>
    <t xml:space="preserve">033065001474
033167004146
</t>
  </si>
  <si>
    <t xml:space="preserve">033056002564
033162000463
</t>
  </si>
  <si>
    <t xml:space="preserve">033069011511
033172013623
033092010073
</t>
  </si>
  <si>
    <t xml:space="preserve">0915365648
</t>
  </si>
  <si>
    <t xml:space="preserve">033040000648
033145000678
033077013204
</t>
  </si>
  <si>
    <t xml:space="preserve">0989143060
</t>
  </si>
  <si>
    <t>033157010792
033078009092
033179003800</t>
  </si>
  <si>
    <t xml:space="preserve">
0365710827
</t>
  </si>
  <si>
    <t>033158013592
033079001771
033184003674
033180001865</t>
  </si>
  <si>
    <t xml:space="preserve">
0366469627
0962973176</t>
  </si>
  <si>
    <t xml:space="preserve">033049006196
033153008805
</t>
  </si>
  <si>
    <t>033070008586
033173012772
033092011633</t>
  </si>
  <si>
    <t>0383641142
0372146907</t>
  </si>
  <si>
    <t xml:space="preserve">033050001175
033153000484
033076003343
033179003135
</t>
  </si>
  <si>
    <t xml:space="preserve">0393462346
</t>
  </si>
  <si>
    <t xml:space="preserve">033069000480
033171010500
</t>
  </si>
  <si>
    <t xml:space="preserve">
033159004303
033083000487
033086002069</t>
  </si>
  <si>
    <t xml:space="preserve">
0981961406</t>
  </si>
  <si>
    <t>Khúc Xuân Cống, 
Nguyễn Thị Hoa, 
Khúc Xuân Thắng, 
Khúc Thị Thơm,
 Chu Thị Củ (đã chết)</t>
  </si>
  <si>
    <t xml:space="preserve">033063014003
033165009727
033089008769
033191004718
</t>
  </si>
  <si>
    <t>Hoàng Thị Dạn, 
Trần Thị Thắm, 
Trần Thị Thơm</t>
  </si>
  <si>
    <t xml:space="preserve">033153007053
033186000571
</t>
  </si>
  <si>
    <t>0332756742
0868706215</t>
  </si>
  <si>
    <t>Nguyễn Hữu Cửu, 
Nguyễn Thị Phức, 
Nguyễn Hữu Thạo, 
Nguyễn Thị Hiền</t>
  </si>
  <si>
    <t>033060004804
033160004792
033081003856
033186000710</t>
  </si>
  <si>
    <t xml:space="preserve">0384266353
</t>
  </si>
  <si>
    <t>Đào Hữu Huynh, 
Nguyễn Thị Ngân, 
Đào Hữu Hoành, 
Đào Hữu Tĩnh, 
Đào Hữu Dưỡng</t>
  </si>
  <si>
    <t>033063000224
033168000211
033088000318
033092005884</t>
  </si>
  <si>
    <t xml:space="preserve">0367537258
</t>
  </si>
  <si>
    <t>Nguyễn Bá Tuyến (đã chết), Phan Thị Hạnh, 
Nguyễn Thị Hà, 
Nguyễn Bá Hiệp</t>
  </si>
  <si>
    <t xml:space="preserve">
033164002475
033185015568
033086004761</t>
  </si>
  <si>
    <t xml:space="preserve">0359903805
</t>
  </si>
  <si>
    <t>Đào Duy Đại, 
Nguyễn Thị Hậu (đã chết), Đào Duy Quảng, 
Đào Thị Duyên, 
Đào Thị Dáng</t>
  </si>
  <si>
    <t xml:space="preserve">
033062008807
033035003351
033188003915
033190017865
</t>
  </si>
  <si>
    <t xml:space="preserve">
'0396131671
</t>
  </si>
  <si>
    <t>Đào Duy Thiển, 
Nguyễn Thị Gái, 
Đào Duy Lời, 
Vũ Thị Mau, 
Đào Duy Thời, 
Chu Thị Hậu, 
Đào Duy Thủy, 
Nguyễn Thị Suốt, 
Đào Duy Thuận, 
Đào Duy Thịnh</t>
  </si>
  <si>
    <t xml:space="preserve">033044000658
033151001108
033180003560
033084007344
</t>
  </si>
  <si>
    <t>PHỤ LỤC</t>
  </si>
  <si>
    <t>Số tờ theo trích lục</t>
  </si>
  <si>
    <t>Thửa số theo trích lục</t>
  </si>
  <si>
    <t>Hoàng Thị Tấp, 
Nguyễn Như Hải (đã chết), 
Nguyễn Như Hìu, 
Nguyễn Thị Thương, 
Nguyễn Thị Tâm, 
Nguyễn Thị Thế</t>
  </si>
  <si>
    <t>Đặng Phạm Đãi, 
Lỗ Thị Phương, 
Đặng Phạm Chiêu, 
Vũ Thị Luyến, 
Đặng Thị Thoa, 
Đặng Phạm Chức, 
Đặng Thị Thoan</t>
  </si>
  <si>
    <t>Khúc Xuân Lải, 
Hoàng Thị Lập, 
Khúc Xuân Lượng, 
Đào Thị Tâm, 
Khúc Xuân Dũng (đã chết), 
Khúc Xuân Giao</t>
  </si>
  <si>
    <t xml:space="preserve">Nguyễn Đức Luyện, </t>
  </si>
  <si>
    <t>Nguyễn Văn Tuấn, 
Phạm Thị Tuyến, 
Nguyễn Thị Thúy, 
Nguyễn Văn Thắng, 
Hoàng Thị Hà, 
Phạm Thị Hồ (đã chết)</t>
  </si>
  <si>
    <t>Nguyễn Văn Đề, 
Nguyễn Thị Hường, 
Nguyễn Thị Hướng</t>
  </si>
  <si>
    <t>Trần Thị Huyền, 
Nguyễn Văn Hoàng, 
Nguyễn Thị Hùy, 
Nguyễn Thị Hường, 
Nguyễn Văn Huy (đã chết)</t>
  </si>
  <si>
    <t>Lý Thị Hường, 
Lê Minh Tân, 
Lê Trọng Tài, 
Nguyễn Thị Nhắt (đã chết)</t>
  </si>
  <si>
    <t>Nguyễn Văn Quế (đã chết), 
Nguyễn Thị Thao, 
Nguyễn Thị Hồng Trang, 
Nguyễn Thị Thu Quyên, 
Nguyễn Thị Uyên, 
Nguyễn Văn Trưởng</t>
  </si>
  <si>
    <t>Khúc Văn Thế (đã chết), 
Nguyễn Thị Hồng Xuyến, 
Khúc Xuân Thắng, 
Khúc Xuân Thuấn, 
Khúc Thị Thanh Loan</t>
  </si>
  <si>
    <t>Nguyễn Chí Bào, 
Nguyễn Văn Khang, 
Nguyễn Văn Khá, 
Lê Thị Ánh</t>
  </si>
  <si>
    <t>Phạm Văn Thinh, 
Phạm Văn Thung, 
Phạm Văn Lũng, 
Phạm Văn Bằng, 
Khúc Thị Du</t>
  </si>
  <si>
    <t>Bùi Thị Năm, 
Đỗ Thị Hà, 
Đỗ Xuân Tuấn</t>
  </si>
  <si>
    <t>Phạm Văn Trường, 
Phạm Văn Hội, 
Phạm Thị Thủy, 
Phạm Văn Tuấn, 
Phạm Thị Châm</t>
  </si>
  <si>
    <t>Lý Văn Khách, 
Nguyễn Thị Hằng, 
Lý Văn Phúc, 
Lý Văn Biển, 
Lý Thị Diệu</t>
  </si>
  <si>
    <t>Nguyễn Khắc Toàn, 
Phan Thị Thúy, 
Nguyễn Sinh Thái, 
Phan Thị Ngân, 
Nguyễn Khắc Mẫn (đã chết)</t>
  </si>
  <si>
    <t>Trần Thị Hơn, 
Trần Thị Huế, 
Trần Thị Tình, 
Trần Văn Đại, 
Trần Văn Quang, 
Trần Văn Trờ (Chờ) (đã chết), 
Nguyễn Thị Thanh Thủy</t>
  </si>
  <si>
    <t>Nguyễn Thị Lưu, 
Đinh Văn Toản (đã chết), 
Đinh Văn Tuyến</t>
  </si>
  <si>
    <t>Nguyễn Quang Đạt (đã chết), 
Trần Thị Mỹ, 
Nguyễn Viết Khả, 
Nguyễn Thị Hà My</t>
  </si>
  <si>
    <t>Đặng Đình Tuấn; 
Đặng Đình Hom (đã chết), 
Đặng Thị Thử (đã chết)</t>
  </si>
  <si>
    <t xml:space="preserve">Đặng Thị Ngần, </t>
  </si>
  <si>
    <t xml:space="preserve">Đặng Văn Thành, </t>
  </si>
  <si>
    <t xml:space="preserve">Đặng Thị Hương, </t>
  </si>
  <si>
    <t xml:space="preserve">Trần Kim Phong, </t>
  </si>
  <si>
    <t>Đặng Thị Tuyết (đã chết), 
Trần Đình Thiện (đã chết), 
Trần Thị Tám</t>
  </si>
  <si>
    <t xml:space="preserve">Vũ Thị Vòng, </t>
  </si>
  <si>
    <t xml:space="preserve">Trần Đình Thu, </t>
  </si>
  <si>
    <t xml:space="preserve">Nguyễn Thị Hậu, </t>
  </si>
  <si>
    <t>Nguyễn Bá Ngọ (đã chết), 
Hoàng Thị Ơn (đã chết), 
Nguyễn Bá Hưng, 
Nguyễn Bá Hải, 
Nguyễn Bá Tuyên</t>
  </si>
  <si>
    <t xml:space="preserve">
033187001761
</t>
  </si>
  <si>
    <t>DỰ THẢO PHƯƠNG ÁN BỒI THƯỜNG, HỖ TRỢ PHỤC VỤ GPMB KHI NHÀ NƯỚC THU HỒI ĐẤT CỦA CÁC HỘ GIA ĐÌNH, CÁ NHÂN THUỘC TDP LỖ XÁ ĐỂ THỰC HIỆN DỰ ÁN XÂY DỰNG ĐƯỜNG VÀ KÈ TRUNG THỦY NÔNG NHÂN HÒA, KÊNH TRẠM BƠM PHÚ HỮU TỪ TDP LỖ XÁ (PHƯỜNG NHÂN HÒA) ĐẾN TRỤC QUY HOẠCH BẮC NAM (XÃ CẨM XÁ), THỊ XÃ MỸ HÀO TẠI PHƯỜNG MỸ HÀO, TỈNH HƯNG YÊN</t>
  </si>
  <si>
    <t>DỰ THẢO PHƯƠNG ÁN BỒI THƯỜNG, HỖ TRỢ PHỤC VỤ GPMB KHI NHÀ NƯỚC THU HỒI ĐẤT CỦA CÁC HỘ GIA ĐÌNH, CÁ NHÂN THUỘC TDP DÂU BÙI ĐỂ THỰC HIỆN DỰ ÁN XÂY DỰNG ĐƯỜNG VÀ KÈ TRUNG THỦY NÔNG NHÂN HÒA, KÊNH TRẠM BƠM PHÚ HỮU TỪ TDP LỖ XÁ (PHƯỜNG NHÂN HÒA) ĐẾN TRỤC QUY HOẠCH BẮC NAM (XÃ CẨM XÁ), THỊ XÃ MỸ HÀO TẠI PHƯỜNG MỸ HÀO, TỈNH HƯNG YÊN</t>
  </si>
  <si>
    <t>DỰ THẢO PHƯƠNG ÁN BỒI THƯỜNG, HỖ TRỢ PHỤC VỤ GPMB KHI NHÀ NƯỚC THU HỒI ĐẤT CỦA CÁC HỘ GIA ĐÌNH, CÁ NHÂN THUỘC TDP CẨM SƠN ĐỂ THỰC HIỆN DỰ ÁN XÂY DỰNG ĐƯỜNG VÀ KÈ TRUNG THỦY NÔNG NHÂN HÒA, KÊNH TRẠM BƠM PHÚ HỮU TỪ TDP LỖ XÁ (PHƯỜNG NHÂN HÒA) ĐẾN TRỤC QUY HOẠCH BẮC NAM (XÃ CẨM XÁ), THỊ XÃ MỸ HÀO TẠI PHƯỜNG MỸ HÀO, TỈNH HƯNG YÊN</t>
  </si>
  <si>
    <t>đã thu hồi</t>
  </si>
  <si>
    <t>(Kèm theo Thông báo số        /TB-UBND ngày            /11/2026 của UBND phường Mỹ Hào)</t>
  </si>
  <si>
    <t>Trịnh Duy Diểu (đã chết), 
Hoàng Thị Phấn, 
Trịnh Duy Giáp, 
Trịnh Thị Lan, 
Trịnh Duy Tam, 
Trịnh Duy Tư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</si>
</sst>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0.0"/>
    <numFmt numFmtId="165" formatCode="_(* #,##0_);_(* \(#,##0\);_(* &quot;-&quot;??_);_(@_)"/>
    <numFmt numFmtId="166" formatCode="0.000"/>
    <numFmt numFmtId="167" formatCode="0.0"/>
    <numFmt numFmtId="168" formatCode="_(* #,##0.0_);_(* \(#,##0.0\);_(* &quot;-&quot;??_);_(@_)"/>
    <numFmt numFmtId="169" formatCode="0.0%"/>
  </numFmts>
  <fonts count="14" x14ac:knownFonts="1">
    <font>
      <sz val="11"/>
      <color theme="1"/>
      <name val="Calibri"/>
      <family val="2"/>
      <scheme val="minor"/>
    </font>
    <font>
      <sz val="11"/>
      <color theme="1"/>
      <name val="Calibri"/>
      <family val="2"/>
      <scheme val="minor"/>
    </font>
    <font>
      <sz val="11"/>
      <color theme="1"/>
      <name val="Times New Roman"/>
      <family val="1"/>
    </font>
    <font>
      <b/>
      <sz val="11"/>
      <color theme="1"/>
      <name val="Times New Roman"/>
      <family val="1"/>
    </font>
    <font>
      <b/>
      <sz val="13"/>
      <name val="Times New Roman"/>
      <family val="1"/>
    </font>
    <font>
      <sz val="13"/>
      <color theme="1"/>
      <name val="Calibri"/>
      <family val="2"/>
      <scheme val="minor"/>
    </font>
    <font>
      <sz val="13"/>
      <color theme="1"/>
      <name val="Times New Roman"/>
      <family val="1"/>
    </font>
    <font>
      <sz val="13"/>
      <name val="Times New Roman"/>
      <family val="1"/>
    </font>
    <font>
      <sz val="13"/>
      <color rgb="FFFF0000"/>
      <name val="Times New Roman"/>
      <family val="1"/>
    </font>
    <font>
      <b/>
      <sz val="13"/>
      <color theme="1"/>
      <name val="Times New Roman"/>
      <family val="1"/>
    </font>
    <font>
      <sz val="13"/>
      <color rgb="FF0070C0"/>
      <name val="Times New Roman"/>
      <family val="1"/>
    </font>
    <font>
      <b/>
      <i/>
      <sz val="13"/>
      <name val="Times New Roman"/>
      <family val="1"/>
    </font>
    <font>
      <i/>
      <sz val="13"/>
      <name val="Times New Roman"/>
      <family val="1"/>
    </font>
    <font>
      <i/>
      <sz val="12"/>
      <color theme="1"/>
      <name val="Times New Roman"/>
      <family val="1"/>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s>
  <borders count="21">
    <border>
      <left/>
      <right/>
      <top/>
      <bottom/>
      <diagonal/>
    </border>
    <border>
      <left style="thin">
        <color rgb="FFD9D9D9"/>
      </left>
      <right style="thin">
        <color rgb="FFD9D9D9"/>
      </right>
      <top style="thin">
        <color rgb="FFD9D9D9"/>
      </top>
      <bottom style="thin">
        <color rgb="FFD9D9D9"/>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style="thin">
        <color rgb="FFD9D9D9"/>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rgb="FFD9D9D9"/>
      </left>
      <right style="thin">
        <color rgb="FFD9D9D9"/>
      </right>
      <top/>
      <bottom style="thin">
        <color rgb="FFD9D9D9"/>
      </bottom>
      <diagonal/>
    </border>
    <border>
      <left style="thin">
        <color rgb="FFD9D9D9"/>
      </left>
      <right/>
      <top style="thin">
        <color rgb="FFD9D9D9"/>
      </top>
      <bottom style="thin">
        <color rgb="FFD9D9D9"/>
      </bottom>
      <diagonal/>
    </border>
    <border>
      <left/>
      <right style="thin">
        <color rgb="FFD9D9D9"/>
      </right>
      <top style="thin">
        <color rgb="FFD9D9D9"/>
      </top>
      <bottom style="thin">
        <color rgb="FFD9D9D9"/>
      </bottom>
      <diagonal/>
    </border>
    <border>
      <left/>
      <right/>
      <top style="thin">
        <color rgb="FFD9D9D9"/>
      </top>
      <bottom style="thin">
        <color rgb="FFD9D9D9"/>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81">
    <xf numFmtId="0" fontId="0" fillId="0" borderId="0" xfId="0"/>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164" fontId="3" fillId="0" borderId="2" xfId="0" applyNumberFormat="1" applyFont="1" applyBorder="1" applyAlignment="1">
      <alignment horizontal="center" vertical="center"/>
    </xf>
    <xf numFmtId="0" fontId="5" fillId="0" borderId="0" xfId="0" applyFont="1" applyFill="1"/>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9" fillId="0" borderId="2" xfId="0" applyFont="1" applyFill="1" applyBorder="1" applyAlignment="1">
      <alignment horizontal="center" vertical="center"/>
    </xf>
    <xf numFmtId="0" fontId="5" fillId="0" borderId="0" xfId="0" applyFont="1" applyFill="1" applyAlignment="1">
      <alignment horizontal="center"/>
    </xf>
    <xf numFmtId="0" fontId="5" fillId="0" borderId="0" xfId="0" applyFont="1" applyFill="1" applyAlignment="1">
      <alignment horizontal="left" wrapText="1"/>
    </xf>
    <xf numFmtId="0" fontId="6" fillId="0" borderId="2" xfId="0" applyFont="1" applyFill="1" applyBorder="1" applyAlignment="1">
      <alignment horizontal="left" vertical="center" wrapText="1"/>
    </xf>
    <xf numFmtId="0" fontId="6" fillId="0" borderId="0" xfId="0" applyFont="1" applyFill="1"/>
    <xf numFmtId="3" fontId="2" fillId="0" borderId="2" xfId="0" applyNumberFormat="1" applyFont="1" applyFill="1" applyBorder="1" applyAlignment="1">
      <alignment horizontal="left" vertical="center" wrapText="1"/>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4" fillId="0" borderId="2" xfId="0" applyFont="1" applyFill="1" applyBorder="1" applyAlignment="1">
      <alignment horizontal="center" vertical="center"/>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169" fontId="6" fillId="0" borderId="2" xfId="2" applyNumberFormat="1" applyFont="1" applyFill="1" applyBorder="1" applyAlignment="1">
      <alignment horizontal="center" vertical="center"/>
    </xf>
    <xf numFmtId="169" fontId="5" fillId="0" borderId="0" xfId="2" applyNumberFormat="1" applyFont="1" applyFill="1"/>
    <xf numFmtId="165" fontId="6" fillId="0" borderId="2" xfId="1" applyNumberFormat="1"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5" fillId="0" borderId="2" xfId="0" applyFont="1" applyFill="1" applyBorder="1"/>
    <xf numFmtId="0" fontId="5" fillId="0" borderId="2" xfId="0" applyFont="1" applyFill="1" applyBorder="1" applyAlignment="1">
      <alignment horizontal="center"/>
    </xf>
    <xf numFmtId="0" fontId="5" fillId="0" borderId="2" xfId="0" applyFont="1" applyFill="1" applyBorder="1" applyAlignment="1">
      <alignment horizontal="left" wrapText="1"/>
    </xf>
    <xf numFmtId="0" fontId="5" fillId="0" borderId="0" xfId="0" applyFont="1" applyFill="1" applyBorder="1"/>
    <xf numFmtId="169" fontId="2" fillId="0" borderId="2" xfId="2" applyNumberFormat="1" applyFont="1" applyBorder="1" applyAlignment="1">
      <alignment horizontal="center" vertical="center"/>
    </xf>
    <xf numFmtId="169" fontId="0" fillId="0" borderId="0" xfId="2" applyNumberFormat="1" applyFont="1"/>
    <xf numFmtId="169" fontId="6" fillId="0" borderId="6" xfId="2" applyNumberFormat="1" applyFont="1" applyFill="1" applyBorder="1" applyAlignment="1">
      <alignment horizontal="center" vertical="center"/>
    </xf>
    <xf numFmtId="165" fontId="6" fillId="0" borderId="6" xfId="1" applyNumberFormat="1" applyFont="1" applyFill="1" applyBorder="1" applyAlignment="1">
      <alignment horizontal="center" vertical="center"/>
    </xf>
    <xf numFmtId="169" fontId="6" fillId="0" borderId="7" xfId="2" applyNumberFormat="1" applyFont="1" applyFill="1" applyBorder="1" applyAlignment="1">
      <alignment horizontal="center" vertical="center"/>
    </xf>
    <xf numFmtId="165" fontId="6" fillId="0" borderId="7" xfId="1" applyNumberFormat="1" applyFont="1" applyFill="1" applyBorder="1" applyAlignment="1">
      <alignment horizontal="center" vertical="center"/>
    </xf>
    <xf numFmtId="0" fontId="4" fillId="4" borderId="2" xfId="0" applyFont="1" applyFill="1" applyBorder="1" applyAlignment="1">
      <alignment horizontal="center" vertical="center" wrapText="1"/>
    </xf>
    <xf numFmtId="0" fontId="6" fillId="4" borderId="2"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6" xfId="0" applyFont="1" applyFill="1" applyBorder="1" applyAlignment="1">
      <alignment horizontal="center" vertical="center"/>
    </xf>
    <xf numFmtId="0" fontId="5" fillId="4" borderId="2" xfId="0" applyFont="1" applyFill="1" applyBorder="1"/>
    <xf numFmtId="0" fontId="5" fillId="4" borderId="0" xfId="0" applyFont="1" applyFill="1"/>
    <xf numFmtId="0" fontId="5" fillId="4" borderId="2" xfId="0" applyFont="1" applyFill="1" applyBorder="1" applyAlignment="1">
      <alignment horizontal="center"/>
    </xf>
    <xf numFmtId="0" fontId="5" fillId="4" borderId="0" xfId="0" applyFont="1" applyFill="1" applyAlignment="1">
      <alignment horizont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0" borderId="18" xfId="0" applyFont="1" applyFill="1" applyBorder="1" applyAlignment="1">
      <alignment horizontal="center" vertical="center"/>
    </xf>
    <xf numFmtId="0" fontId="6" fillId="4" borderId="18" xfId="0" applyFont="1" applyFill="1" applyBorder="1" applyAlignment="1">
      <alignment horizontal="center" vertical="center"/>
    </xf>
    <xf numFmtId="0" fontId="6" fillId="0" borderId="19" xfId="0" applyFont="1" applyFill="1" applyBorder="1" applyAlignment="1">
      <alignment horizontal="center" vertical="center"/>
    </xf>
    <xf numFmtId="0" fontId="6" fillId="4" borderId="19" xfId="0" applyFont="1" applyFill="1" applyBorder="1" applyAlignment="1">
      <alignment horizontal="center" vertical="center"/>
    </xf>
    <xf numFmtId="168" fontId="4" fillId="0" borderId="2" xfId="1" applyNumberFormat="1" applyFont="1" applyFill="1" applyBorder="1" applyAlignment="1">
      <alignment vertical="center" wrapText="1"/>
    </xf>
    <xf numFmtId="168" fontId="6" fillId="0" borderId="2" xfId="1" applyNumberFormat="1" applyFont="1" applyFill="1" applyBorder="1" applyAlignment="1">
      <alignment vertical="center"/>
    </xf>
    <xf numFmtId="168" fontId="7" fillId="0" borderId="2" xfId="1" applyNumberFormat="1" applyFont="1" applyFill="1" applyBorder="1" applyAlignment="1">
      <alignment vertical="center"/>
    </xf>
    <xf numFmtId="168" fontId="5" fillId="0" borderId="0" xfId="1" applyNumberFormat="1" applyFont="1" applyFill="1" applyAlignment="1"/>
    <xf numFmtId="0" fontId="2" fillId="5" borderId="2" xfId="0" applyFont="1" applyFill="1" applyBorder="1" applyAlignment="1">
      <alignment horizontal="center" vertical="center"/>
    </xf>
    <xf numFmtId="0" fontId="2" fillId="5" borderId="5" xfId="0" applyFont="1" applyFill="1" applyBorder="1" applyAlignment="1">
      <alignment horizontal="center" vertical="center"/>
    </xf>
    <xf numFmtId="168" fontId="4" fillId="0" borderId="2" xfId="1" applyNumberFormat="1" applyFont="1" applyFill="1" applyBorder="1" applyAlignment="1">
      <alignment horizontal="center" vertical="center" wrapText="1"/>
    </xf>
    <xf numFmtId="168" fontId="6" fillId="0" borderId="2" xfId="1" applyNumberFormat="1" applyFont="1" applyFill="1" applyBorder="1" applyAlignment="1">
      <alignment horizontal="center" vertical="center"/>
    </xf>
    <xf numFmtId="168" fontId="7" fillId="0" borderId="2" xfId="1" applyNumberFormat="1" applyFont="1" applyFill="1" applyBorder="1" applyAlignment="1">
      <alignment horizontal="center" vertical="center"/>
    </xf>
    <xf numFmtId="168" fontId="6" fillId="0" borderId="18" xfId="1" applyNumberFormat="1" applyFont="1" applyFill="1" applyBorder="1" applyAlignment="1">
      <alignment horizontal="center" vertical="center"/>
    </xf>
    <xf numFmtId="168" fontId="6" fillId="0" borderId="19" xfId="1" applyNumberFormat="1" applyFont="1" applyFill="1" applyBorder="1" applyAlignment="1">
      <alignment horizontal="center" vertical="center"/>
    </xf>
    <xf numFmtId="168" fontId="5" fillId="0" borderId="0" xfId="1" applyNumberFormat="1" applyFont="1" applyFill="1" applyAlignment="1">
      <alignment horizontal="center"/>
    </xf>
    <xf numFmtId="0" fontId="6" fillId="0" borderId="0" xfId="0" applyFont="1" applyFill="1" applyAlignment="1">
      <alignment horizontal="center"/>
    </xf>
    <xf numFmtId="0" fontId="6" fillId="0" borderId="0" xfId="0" applyFont="1" applyFill="1" applyAlignment="1">
      <alignment horizontal="center" vertical="center"/>
    </xf>
    <xf numFmtId="168" fontId="9" fillId="0" borderId="2" xfId="1" applyNumberFormat="1" applyFont="1" applyFill="1" applyBorder="1" applyAlignment="1">
      <alignment horizontal="center" vertical="center"/>
    </xf>
    <xf numFmtId="165" fontId="9" fillId="0" borderId="2" xfId="1" applyNumberFormat="1" applyFont="1" applyFill="1" applyBorder="1" applyAlignment="1">
      <alignment horizontal="center" vertical="center"/>
    </xf>
    <xf numFmtId="165" fontId="3" fillId="0" borderId="2" xfId="1" applyNumberFormat="1" applyFont="1" applyBorder="1" applyAlignment="1">
      <alignment horizontal="center" vertic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6" fillId="0" borderId="0" xfId="0" applyFont="1" applyBorder="1"/>
    <xf numFmtId="0" fontId="4" fillId="0" borderId="6" xfId="0" applyFont="1" applyBorder="1" applyAlignment="1">
      <alignment vertical="center"/>
    </xf>
    <xf numFmtId="0" fontId="4" fillId="4" borderId="6" xfId="0" applyFont="1" applyFill="1" applyBorder="1" applyAlignment="1">
      <alignment vertical="center"/>
    </xf>
    <xf numFmtId="0" fontId="4" fillId="4" borderId="6" xfId="0" applyFont="1" applyFill="1" applyBorder="1" applyAlignment="1">
      <alignment vertical="center" wrapText="1"/>
    </xf>
    <xf numFmtId="0" fontId="6" fillId="0" borderId="0" xfId="0" applyFont="1"/>
    <xf numFmtId="0" fontId="4" fillId="0" borderId="9" xfId="0" applyFont="1" applyBorder="1" applyAlignment="1">
      <alignment vertical="center"/>
    </xf>
    <xf numFmtId="0" fontId="4" fillId="4" borderId="9" xfId="0" applyFont="1" applyFill="1" applyBorder="1" applyAlignment="1">
      <alignment vertical="center"/>
    </xf>
    <xf numFmtId="0" fontId="4" fillId="4" borderId="9" xfId="0" applyFont="1" applyFill="1" applyBorder="1" applyAlignment="1">
      <alignment vertical="center" wrapText="1"/>
    </xf>
    <xf numFmtId="0" fontId="4" fillId="4" borderId="2"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2" xfId="0" applyFont="1" applyFill="1" applyBorder="1" applyAlignment="1">
      <alignment horizontal="left" vertical="center" wrapText="1"/>
    </xf>
    <xf numFmtId="43" fontId="6" fillId="4" borderId="2" xfId="1" applyFont="1" applyFill="1" applyBorder="1" applyAlignment="1">
      <alignment horizontal="center" vertical="center"/>
    </xf>
    <xf numFmtId="167" fontId="6" fillId="4" borderId="2" xfId="1" applyNumberFormat="1" applyFont="1" applyFill="1" applyBorder="1" applyAlignment="1">
      <alignment horizontal="center" vertical="center"/>
    </xf>
    <xf numFmtId="43" fontId="6" fillId="3" borderId="2" xfId="1" applyFont="1" applyFill="1" applyBorder="1" applyAlignment="1">
      <alignment horizontal="center" vertical="center"/>
    </xf>
    <xf numFmtId="165" fontId="6" fillId="3" borderId="2" xfId="1" applyNumberFormat="1" applyFont="1" applyFill="1" applyBorder="1" applyAlignment="1">
      <alignment horizontal="center" vertical="center"/>
    </xf>
    <xf numFmtId="0" fontId="6" fillId="3" borderId="0" xfId="0" applyFont="1" applyFill="1"/>
    <xf numFmtId="166" fontId="6" fillId="4" borderId="2" xfId="1" applyNumberFormat="1" applyFont="1" applyFill="1" applyBorder="1" applyAlignment="1">
      <alignment horizontal="center" vertical="center"/>
    </xf>
    <xf numFmtId="0" fontId="6" fillId="3" borderId="2" xfId="0" applyFont="1" applyFill="1" applyBorder="1" applyAlignment="1">
      <alignment horizontal="left" vertical="center"/>
    </xf>
    <xf numFmtId="167" fontId="6" fillId="4" borderId="6" xfId="1" applyNumberFormat="1" applyFont="1" applyFill="1" applyBorder="1" applyAlignment="1">
      <alignment horizontal="center" vertical="center"/>
    </xf>
    <xf numFmtId="43" fontId="6" fillId="3" borderId="6" xfId="1" applyFont="1" applyFill="1" applyBorder="1" applyAlignment="1">
      <alignment horizontal="center" vertical="center"/>
    </xf>
    <xf numFmtId="0" fontId="6" fillId="3" borderId="6" xfId="0" applyFont="1" applyFill="1" applyBorder="1" applyAlignment="1">
      <alignment horizontal="center" vertical="center"/>
    </xf>
    <xf numFmtId="165" fontId="6" fillId="3" borderId="6" xfId="1" applyNumberFormat="1" applyFont="1" applyFill="1" applyBorder="1" applyAlignment="1">
      <alignment horizontal="center" vertical="center"/>
    </xf>
    <xf numFmtId="167" fontId="6" fillId="4" borderId="7" xfId="1" applyNumberFormat="1" applyFont="1" applyFill="1" applyBorder="1" applyAlignment="1">
      <alignment horizontal="center" vertical="center"/>
    </xf>
    <xf numFmtId="43" fontId="6" fillId="3" borderId="7" xfId="1" applyFont="1" applyFill="1" applyBorder="1" applyAlignment="1">
      <alignment horizontal="center" vertical="center"/>
    </xf>
    <xf numFmtId="0" fontId="6" fillId="3" borderId="7" xfId="0" applyFont="1" applyFill="1" applyBorder="1" applyAlignment="1">
      <alignment horizontal="center" vertical="center"/>
    </xf>
    <xf numFmtId="165" fontId="6" fillId="3" borderId="7" xfId="1" applyNumberFormat="1" applyFont="1" applyFill="1" applyBorder="1" applyAlignment="1">
      <alignment horizontal="center" vertical="center"/>
    </xf>
    <xf numFmtId="0" fontId="6" fillId="4" borderId="9" xfId="0" applyFont="1" applyFill="1" applyBorder="1" applyAlignment="1">
      <alignment horizontal="center" vertical="center"/>
    </xf>
    <xf numFmtId="167" fontId="6" fillId="4" borderId="9" xfId="1" applyNumberFormat="1" applyFont="1" applyFill="1" applyBorder="1" applyAlignment="1">
      <alignment horizontal="center" vertical="center"/>
    </xf>
    <xf numFmtId="43" fontId="6" fillId="3" borderId="9" xfId="1" applyFont="1" applyFill="1" applyBorder="1" applyAlignment="1">
      <alignment horizontal="center" vertical="center"/>
    </xf>
    <xf numFmtId="0" fontId="6" fillId="3" borderId="9" xfId="0" applyFont="1" applyFill="1" applyBorder="1" applyAlignment="1">
      <alignment horizontal="center" vertical="center"/>
    </xf>
    <xf numFmtId="0" fontId="6" fillId="0" borderId="9" xfId="0" applyFont="1" applyFill="1" applyBorder="1" applyAlignment="1">
      <alignment horizontal="center" vertical="center"/>
    </xf>
    <xf numFmtId="165" fontId="6" fillId="3" borderId="9" xfId="1" applyNumberFormat="1" applyFont="1" applyFill="1" applyBorder="1" applyAlignment="1">
      <alignment horizontal="center" vertical="center"/>
    </xf>
    <xf numFmtId="0" fontId="6" fillId="4" borderId="0" xfId="0" applyFont="1" applyFill="1" applyBorder="1" applyAlignment="1">
      <alignment horizontal="center" vertical="center"/>
    </xf>
    <xf numFmtId="43" fontId="6" fillId="4" borderId="0" xfId="1" applyFont="1" applyFill="1" applyBorder="1" applyAlignment="1">
      <alignment horizontal="center" vertical="center"/>
    </xf>
    <xf numFmtId="167" fontId="6" fillId="4" borderId="0" xfId="1" applyNumberFormat="1" applyFont="1" applyFill="1" applyBorder="1" applyAlignment="1">
      <alignment horizontal="center" vertical="center"/>
    </xf>
    <xf numFmtId="0" fontId="6" fillId="3" borderId="0" xfId="0" applyFont="1" applyFill="1" applyBorder="1" applyAlignment="1">
      <alignment horizontal="center" vertical="center"/>
    </xf>
    <xf numFmtId="0" fontId="6" fillId="0" borderId="1" xfId="0" applyFont="1" applyBorder="1" applyAlignment="1">
      <alignment horizontal="center" vertical="center"/>
    </xf>
    <xf numFmtId="0" fontId="6" fillId="4" borderId="1" xfId="0" applyFont="1" applyFill="1" applyBorder="1" applyAlignment="1">
      <alignment horizontal="center" vertical="center"/>
    </xf>
    <xf numFmtId="3" fontId="7" fillId="0" borderId="1" xfId="0" applyNumberFormat="1" applyFont="1" applyBorder="1" applyAlignment="1">
      <alignment horizontal="left" vertical="center"/>
    </xf>
    <xf numFmtId="3" fontId="7" fillId="4" borderId="1" xfId="0" applyNumberFormat="1" applyFont="1" applyFill="1" applyBorder="1" applyAlignment="1">
      <alignment horizontal="center" vertical="center"/>
    </xf>
    <xf numFmtId="43" fontId="7" fillId="4" borderId="1" xfId="1" applyFont="1" applyFill="1" applyBorder="1" applyAlignment="1">
      <alignment horizontal="center" vertical="center"/>
    </xf>
    <xf numFmtId="167" fontId="7" fillId="4" borderId="1" xfId="1" applyNumberFormat="1" applyFont="1" applyFill="1" applyBorder="1" applyAlignment="1">
      <alignment horizontal="center" vertical="center"/>
    </xf>
    <xf numFmtId="43" fontId="7" fillId="0" borderId="1" xfId="1" applyFont="1" applyBorder="1" applyAlignment="1">
      <alignment horizontal="center" vertical="center"/>
    </xf>
    <xf numFmtId="3" fontId="7" fillId="0" borderId="1" xfId="0" applyNumberFormat="1" applyFont="1" applyBorder="1" applyAlignment="1">
      <alignment horizontal="center" vertical="center"/>
    </xf>
    <xf numFmtId="164" fontId="7" fillId="0" borderId="1" xfId="0" applyNumberFormat="1" applyFont="1" applyFill="1" applyBorder="1" applyAlignment="1">
      <alignment horizontal="center" vertical="center"/>
    </xf>
    <xf numFmtId="0" fontId="7" fillId="0" borderId="1" xfId="0" applyFont="1" applyBorder="1" applyAlignment="1">
      <alignment horizontal="center" vertical="center"/>
    </xf>
    <xf numFmtId="0" fontId="6" fillId="0" borderId="0" xfId="0" applyFont="1" applyAlignment="1">
      <alignment horizontal="center" vertical="center"/>
    </xf>
    <xf numFmtId="0" fontId="6" fillId="4" borderId="0" xfId="0" applyFont="1" applyFill="1" applyAlignment="1">
      <alignment horizontal="center" vertical="center"/>
    </xf>
    <xf numFmtId="165" fontId="7" fillId="0" borderId="1" xfId="1" applyNumberFormat="1" applyFont="1" applyBorder="1" applyAlignment="1">
      <alignment horizontal="center" vertical="center"/>
    </xf>
    <xf numFmtId="0" fontId="6" fillId="4" borderId="3" xfId="0" applyFont="1" applyFill="1" applyBorder="1" applyAlignment="1">
      <alignment horizontal="center" vertical="center"/>
    </xf>
    <xf numFmtId="0" fontId="6" fillId="4" borderId="11" xfId="0" applyFont="1" applyFill="1" applyBorder="1" applyAlignment="1">
      <alignment horizontal="center" vertical="center"/>
    </xf>
    <xf numFmtId="43" fontId="7" fillId="0" borderId="1" xfId="1" applyFont="1" applyFill="1" applyBorder="1" applyAlignment="1">
      <alignment horizontal="center" vertical="center"/>
    </xf>
    <xf numFmtId="3" fontId="7" fillId="0" borderId="3" xfId="0" applyNumberFormat="1" applyFont="1" applyBorder="1" applyAlignment="1">
      <alignment horizontal="left" vertical="center"/>
    </xf>
    <xf numFmtId="3" fontId="7" fillId="4" borderId="3" xfId="0" applyNumberFormat="1" applyFont="1" applyFill="1" applyBorder="1" applyAlignment="1">
      <alignment horizontal="center" vertical="center"/>
    </xf>
    <xf numFmtId="43" fontId="7" fillId="4" borderId="3" xfId="1" applyFont="1" applyFill="1" applyBorder="1" applyAlignment="1">
      <alignment horizontal="center" vertical="center"/>
    </xf>
    <xf numFmtId="167" fontId="7" fillId="4" borderId="3" xfId="1" applyNumberFormat="1" applyFont="1" applyFill="1" applyBorder="1" applyAlignment="1">
      <alignment horizontal="center" vertical="center"/>
    </xf>
    <xf numFmtId="43" fontId="7" fillId="0" borderId="3" xfId="1" applyFont="1" applyBorder="1" applyAlignment="1">
      <alignment horizontal="center" vertical="center"/>
    </xf>
    <xf numFmtId="3" fontId="7" fillId="0" borderId="3" xfId="0" applyNumberFormat="1" applyFont="1" applyBorder="1" applyAlignment="1">
      <alignment horizontal="center" vertical="center"/>
    </xf>
    <xf numFmtId="164" fontId="7" fillId="0" borderId="3" xfId="0" applyNumberFormat="1" applyFont="1" applyFill="1" applyBorder="1" applyAlignment="1">
      <alignment horizontal="center" vertical="center"/>
    </xf>
    <xf numFmtId="0" fontId="7" fillId="0" borderId="3" xfId="0" applyFont="1" applyBorder="1" applyAlignment="1">
      <alignment horizontal="center" vertical="center"/>
    </xf>
    <xf numFmtId="3" fontId="7" fillId="0" borderId="0" xfId="0" applyNumberFormat="1" applyFont="1" applyBorder="1" applyAlignment="1">
      <alignment horizontal="left" vertical="center"/>
    </xf>
    <xf numFmtId="3" fontId="7" fillId="4" borderId="0" xfId="0" applyNumberFormat="1" applyFont="1" applyFill="1" applyBorder="1" applyAlignment="1">
      <alignment horizontal="center" vertical="center"/>
    </xf>
    <xf numFmtId="43" fontId="7" fillId="4" borderId="0" xfId="1" applyFont="1" applyFill="1" applyBorder="1" applyAlignment="1">
      <alignment horizontal="center" vertical="center"/>
    </xf>
    <xf numFmtId="167" fontId="7" fillId="4" borderId="0" xfId="1" applyNumberFormat="1" applyFont="1" applyFill="1" applyBorder="1" applyAlignment="1">
      <alignment horizontal="center" vertical="center"/>
    </xf>
    <xf numFmtId="43" fontId="7" fillId="0" borderId="0" xfId="1" applyFont="1" applyBorder="1" applyAlignment="1">
      <alignment horizontal="center" vertical="center"/>
    </xf>
    <xf numFmtId="3" fontId="7" fillId="0" borderId="0" xfId="0" applyNumberFormat="1" applyFont="1" applyBorder="1" applyAlignment="1">
      <alignment horizontal="center" vertical="center"/>
    </xf>
    <xf numFmtId="164" fontId="7" fillId="0" borderId="0" xfId="0" applyNumberFormat="1" applyFont="1" applyFill="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left" vertical="center"/>
    </xf>
    <xf numFmtId="0" fontId="7" fillId="4"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Alignment="1">
      <alignment horizontal="left" vertical="center"/>
    </xf>
    <xf numFmtId="0" fontId="7" fillId="4" borderId="0" xfId="0" applyFont="1" applyFill="1" applyAlignment="1">
      <alignment horizontal="center" vertical="center"/>
    </xf>
    <xf numFmtId="43" fontId="7" fillId="4" borderId="0" xfId="1" applyFont="1" applyFill="1" applyAlignment="1">
      <alignment horizontal="center" vertical="center"/>
    </xf>
    <xf numFmtId="167" fontId="7" fillId="4" borderId="0" xfId="1" applyNumberFormat="1" applyFont="1" applyFill="1" applyAlignment="1">
      <alignment horizontal="center" vertical="center"/>
    </xf>
    <xf numFmtId="43" fontId="7" fillId="0" borderId="0" xfId="1" applyFont="1" applyAlignment="1">
      <alignment horizontal="center" vertical="center"/>
    </xf>
    <xf numFmtId="0" fontId="7" fillId="0" borderId="0" xfId="0" applyFont="1" applyAlignment="1">
      <alignment horizontal="center" vertical="center"/>
    </xf>
    <xf numFmtId="0" fontId="7" fillId="0" borderId="0" xfId="0" applyFont="1" applyFill="1" applyAlignment="1">
      <alignment horizontal="center" vertical="center"/>
    </xf>
    <xf numFmtId="0" fontId="6" fillId="0" borderId="0" xfId="0" applyFont="1" applyAlignment="1">
      <alignment horizontal="left" vertical="center"/>
    </xf>
    <xf numFmtId="43" fontId="6" fillId="4" borderId="0" xfId="1" applyFont="1" applyFill="1" applyAlignment="1">
      <alignment horizontal="center" vertical="center"/>
    </xf>
    <xf numFmtId="167" fontId="6" fillId="4" borderId="0" xfId="1" applyNumberFormat="1" applyFont="1" applyFill="1" applyAlignment="1">
      <alignment horizontal="center" vertical="center"/>
    </xf>
    <xf numFmtId="43" fontId="6" fillId="0" borderId="0" xfId="1" applyFont="1" applyAlignment="1">
      <alignment horizontal="center" vertical="center"/>
    </xf>
    <xf numFmtId="0" fontId="6" fillId="0" borderId="1" xfId="0" applyFont="1" applyFill="1" applyBorder="1" applyAlignment="1">
      <alignment horizontal="center" vertical="center"/>
    </xf>
    <xf numFmtId="0" fontId="6" fillId="0" borderId="0" xfId="0" applyFont="1" applyFill="1" applyAlignment="1">
      <alignment horizontal="left" vertical="center"/>
    </xf>
    <xf numFmtId="43" fontId="6" fillId="0" borderId="0" xfId="1" applyFont="1" applyFill="1" applyAlignment="1">
      <alignment horizontal="center" vertical="center"/>
    </xf>
    <xf numFmtId="169" fontId="6" fillId="0" borderId="0" xfId="2" applyNumberFormat="1" applyFont="1" applyFill="1" applyAlignment="1">
      <alignment horizontal="center" vertical="center"/>
    </xf>
    <xf numFmtId="0" fontId="7" fillId="0" borderId="1" xfId="0" applyFont="1" applyFill="1" applyBorder="1" applyAlignment="1">
      <alignment horizontal="center" vertical="center"/>
    </xf>
    <xf numFmtId="0" fontId="7" fillId="0" borderId="0" xfId="0" applyFont="1" applyFill="1" applyAlignment="1">
      <alignment horizontal="left" vertical="center"/>
    </xf>
    <xf numFmtId="43" fontId="7" fillId="0" borderId="0" xfId="1" applyFont="1" applyFill="1" applyAlignment="1">
      <alignment horizontal="center" vertical="center"/>
    </xf>
    <xf numFmtId="169" fontId="7" fillId="0" borderId="0" xfId="2" applyNumberFormat="1" applyFont="1" applyFill="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43" fontId="6" fillId="0" borderId="0" xfId="1" applyFont="1" applyBorder="1" applyAlignment="1">
      <alignment horizontal="center" vertical="center"/>
    </xf>
    <xf numFmtId="0" fontId="6" fillId="0" borderId="0" xfId="0" applyFont="1" applyFill="1" applyBorder="1" applyAlignment="1">
      <alignment horizontal="center" vertical="center"/>
    </xf>
    <xf numFmtId="0" fontId="9" fillId="0" borderId="0" xfId="0" applyFont="1" applyFill="1" applyAlignment="1">
      <alignment horizontal="center" vertical="center"/>
    </xf>
    <xf numFmtId="0" fontId="6" fillId="4" borderId="0" xfId="0" applyFont="1" applyFill="1"/>
    <xf numFmtId="0" fontId="6" fillId="0" borderId="0" xfId="0" applyFont="1" applyAlignment="1">
      <alignment horizontal="left"/>
    </xf>
    <xf numFmtId="0" fontId="6" fillId="4" borderId="0" xfId="0" applyFont="1" applyFill="1" applyAlignment="1">
      <alignment horizontal="center"/>
    </xf>
    <xf numFmtId="43" fontId="6" fillId="4" borderId="0" xfId="1" applyFont="1" applyFill="1" applyAlignment="1">
      <alignment horizontal="center"/>
    </xf>
    <xf numFmtId="167" fontId="6" fillId="4" borderId="0" xfId="1" applyNumberFormat="1" applyFont="1" applyFill="1" applyAlignment="1">
      <alignment horizontal="center"/>
    </xf>
    <xf numFmtId="43" fontId="6" fillId="0" borderId="0" xfId="1" applyFont="1" applyAlignment="1">
      <alignment horizontal="center"/>
    </xf>
    <xf numFmtId="0" fontId="9" fillId="0" borderId="0" xfId="0" applyFont="1" applyFill="1" applyAlignment="1">
      <alignment horizontal="center"/>
    </xf>
    <xf numFmtId="0" fontId="6" fillId="3" borderId="6" xfId="0" applyFont="1" applyFill="1" applyBorder="1" applyAlignment="1">
      <alignment horizontal="left" vertical="center" wrapText="1"/>
    </xf>
    <xf numFmtId="43" fontId="6" fillId="4" borderId="6" xfId="1" applyFont="1" applyFill="1" applyBorder="1" applyAlignment="1">
      <alignment horizontal="center" vertical="center"/>
    </xf>
    <xf numFmtId="0" fontId="6" fillId="3" borderId="9" xfId="0" applyFont="1" applyFill="1" applyBorder="1" applyAlignment="1">
      <alignment horizontal="left" vertical="center" wrapText="1"/>
    </xf>
    <xf numFmtId="43" fontId="6" fillId="4" borderId="9" xfId="1" applyFont="1" applyFill="1" applyBorder="1" applyAlignment="1">
      <alignment horizontal="center" vertical="center"/>
    </xf>
    <xf numFmtId="0" fontId="6" fillId="3" borderId="7" xfId="0" applyFont="1" applyFill="1" applyBorder="1" applyAlignment="1">
      <alignment horizontal="left" vertical="center" wrapText="1"/>
    </xf>
    <xf numFmtId="43" fontId="6" fillId="4" borderId="7" xfId="1" applyFont="1" applyFill="1" applyBorder="1" applyAlignment="1">
      <alignment horizontal="center" vertical="center"/>
    </xf>
    <xf numFmtId="0" fontId="6" fillId="3" borderId="6" xfId="0" applyFont="1" applyFill="1" applyBorder="1" applyAlignment="1">
      <alignment vertical="center" wrapText="1"/>
    </xf>
    <xf numFmtId="0" fontId="6" fillId="3" borderId="9" xfId="0" applyFont="1" applyFill="1" applyBorder="1" applyAlignment="1">
      <alignment vertical="center" wrapText="1"/>
    </xf>
    <xf numFmtId="0" fontId="6" fillId="3" borderId="7" xfId="0" applyFont="1" applyFill="1" applyBorder="1" applyAlignment="1">
      <alignment vertical="center" wrapText="1"/>
    </xf>
    <xf numFmtId="0" fontId="6" fillId="4" borderId="8"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16" xfId="0" applyFont="1" applyFill="1" applyBorder="1" applyAlignment="1">
      <alignment horizontal="left" vertical="center" wrapText="1"/>
    </xf>
    <xf numFmtId="168" fontId="6" fillId="0" borderId="6" xfId="1" applyNumberFormat="1" applyFont="1" applyFill="1" applyBorder="1" applyAlignment="1">
      <alignment horizontal="center" vertical="center"/>
    </xf>
    <xf numFmtId="168" fontId="6" fillId="0" borderId="6" xfId="1" applyNumberFormat="1" applyFont="1" applyFill="1" applyBorder="1" applyAlignment="1">
      <alignment vertical="center"/>
    </xf>
    <xf numFmtId="168" fontId="6" fillId="0" borderId="7" xfId="1" applyNumberFormat="1" applyFont="1" applyFill="1" applyBorder="1" applyAlignment="1">
      <alignment horizontal="center" vertical="center"/>
    </xf>
    <xf numFmtId="168" fontId="6" fillId="0" borderId="7" xfId="1" applyNumberFormat="1" applyFont="1" applyFill="1" applyBorder="1" applyAlignment="1">
      <alignment vertical="center"/>
    </xf>
    <xf numFmtId="0" fontId="6" fillId="0" borderId="9" xfId="0" applyFont="1" applyFill="1" applyBorder="1" applyAlignment="1">
      <alignment horizontal="center" vertical="center"/>
    </xf>
    <xf numFmtId="0" fontId="7" fillId="0" borderId="9" xfId="0" applyFont="1" applyFill="1" applyBorder="1" applyAlignment="1">
      <alignment horizontal="center" vertical="center"/>
    </xf>
    <xf numFmtId="0" fontId="7" fillId="4" borderId="9" xfId="0" applyFont="1" applyFill="1" applyBorder="1" applyAlignment="1">
      <alignment horizontal="center" vertical="center"/>
    </xf>
    <xf numFmtId="168" fontId="7" fillId="0" borderId="9" xfId="1" applyNumberFormat="1" applyFont="1" applyFill="1" applyBorder="1" applyAlignment="1">
      <alignment horizontal="center" vertical="center"/>
    </xf>
    <xf numFmtId="169" fontId="6" fillId="0" borderId="9" xfId="2" applyNumberFormat="1" applyFont="1" applyFill="1" applyBorder="1" applyAlignment="1">
      <alignment horizontal="center" vertical="center"/>
    </xf>
    <xf numFmtId="165" fontId="6" fillId="0" borderId="9" xfId="1" applyNumberFormat="1" applyFont="1" applyFill="1" applyBorder="1" applyAlignment="1">
      <alignment horizontal="center" vertical="center"/>
    </xf>
    <xf numFmtId="0" fontId="7" fillId="4" borderId="7" xfId="0" applyFont="1" applyFill="1" applyBorder="1" applyAlignment="1">
      <alignment horizontal="center" vertical="center"/>
    </xf>
    <xf numFmtId="168" fontId="7" fillId="0" borderId="7" xfId="1" applyNumberFormat="1" applyFont="1" applyFill="1" applyBorder="1" applyAlignment="1">
      <alignment horizontal="center" vertical="center"/>
    </xf>
    <xf numFmtId="168" fontId="7" fillId="0" borderId="7" xfId="1" applyNumberFormat="1" applyFont="1" applyFill="1" applyBorder="1" applyAlignment="1">
      <alignment vertical="center"/>
    </xf>
    <xf numFmtId="168" fontId="7" fillId="0" borderId="6" xfId="1" applyNumberFormat="1" applyFont="1" applyFill="1" applyBorder="1" applyAlignment="1">
      <alignment horizontal="center" vertical="center"/>
    </xf>
    <xf numFmtId="168" fontId="7" fillId="0" borderId="6" xfId="1" applyNumberFormat="1" applyFont="1" applyFill="1" applyBorder="1" applyAlignment="1">
      <alignment vertical="center"/>
    </xf>
    <xf numFmtId="0" fontId="7" fillId="0" borderId="9" xfId="0" applyFont="1" applyFill="1" applyBorder="1" applyAlignment="1">
      <alignment horizontal="left" vertical="center" wrapText="1"/>
    </xf>
    <xf numFmtId="168" fontId="7" fillId="0" borderId="9" xfId="1" applyNumberFormat="1" applyFont="1" applyFill="1" applyBorder="1" applyAlignment="1">
      <alignment vertical="center"/>
    </xf>
    <xf numFmtId="9" fontId="7" fillId="0" borderId="1" xfId="0" applyNumberFormat="1" applyFont="1" applyBorder="1" applyAlignment="1">
      <alignment horizontal="center" vertical="center"/>
    </xf>
    <xf numFmtId="0" fontId="4" fillId="4" borderId="6"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7" xfId="0" applyFont="1" applyFill="1" applyBorder="1" applyAlignment="1">
      <alignment horizontal="center" vertical="center"/>
    </xf>
    <xf numFmtId="0" fontId="4" fillId="4" borderId="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7" xfId="0" applyFont="1" applyFill="1" applyBorder="1" applyAlignment="1">
      <alignment horizontal="center" vertical="center"/>
    </xf>
    <xf numFmtId="165" fontId="6" fillId="3" borderId="0" xfId="1" applyNumberFormat="1" applyFont="1" applyFill="1" applyBorder="1" applyAlignment="1">
      <alignment horizontal="center" vertical="center"/>
    </xf>
    <xf numFmtId="0" fontId="4" fillId="0" borderId="1" xfId="0" applyFont="1" applyBorder="1" applyAlignment="1">
      <alignment horizontal="center" vertical="center"/>
    </xf>
    <xf numFmtId="165" fontId="4" fillId="0" borderId="1" xfId="1" applyNumberFormat="1" applyFont="1" applyBorder="1" applyAlignment="1">
      <alignment horizontal="center" vertical="center"/>
    </xf>
    <xf numFmtId="165" fontId="4" fillId="0" borderId="1" xfId="0" applyNumberFormat="1" applyFont="1" applyBorder="1" applyAlignment="1">
      <alignment horizontal="center" vertical="center"/>
    </xf>
    <xf numFmtId="165" fontId="11" fillId="0" borderId="1" xfId="1" applyNumberFormat="1" applyFont="1" applyBorder="1" applyAlignment="1">
      <alignment horizontal="center" vertical="center"/>
    </xf>
    <xf numFmtId="165" fontId="7" fillId="2" borderId="1" xfId="0" applyNumberFormat="1" applyFont="1" applyFill="1" applyBorder="1" applyAlignment="1">
      <alignment horizontal="center" vertical="center"/>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2" fillId="0" borderId="5" xfId="0" applyFont="1" applyBorder="1" applyAlignment="1">
      <alignment horizontal="center" vertical="center"/>
    </xf>
    <xf numFmtId="167" fontId="6" fillId="0" borderId="2" xfId="1" applyNumberFormat="1" applyFont="1" applyFill="1" applyBorder="1" applyAlignment="1">
      <alignment horizontal="center" vertical="center"/>
    </xf>
    <xf numFmtId="167" fontId="6" fillId="0" borderId="6" xfId="1" applyNumberFormat="1" applyFont="1" applyFill="1" applyBorder="1" applyAlignment="1">
      <alignment horizontal="center" vertical="center"/>
    </xf>
    <xf numFmtId="167" fontId="6" fillId="0" borderId="7" xfId="1" applyNumberFormat="1" applyFont="1" applyFill="1" applyBorder="1" applyAlignment="1">
      <alignment horizontal="center" vertical="center"/>
    </xf>
    <xf numFmtId="167" fontId="6" fillId="0" borderId="9" xfId="1" applyNumberFormat="1" applyFont="1" applyFill="1" applyBorder="1" applyAlignment="1">
      <alignment horizontal="center" vertical="center"/>
    </xf>
    <xf numFmtId="167" fontId="6" fillId="0" borderId="0" xfId="1" applyNumberFormat="1" applyFont="1" applyFill="1" applyBorder="1" applyAlignment="1">
      <alignment horizontal="center" vertical="center"/>
    </xf>
    <xf numFmtId="167" fontId="7" fillId="0" borderId="1" xfId="1" applyNumberFormat="1" applyFont="1" applyFill="1" applyBorder="1" applyAlignment="1">
      <alignment horizontal="center" vertical="center"/>
    </xf>
    <xf numFmtId="167" fontId="7" fillId="0" borderId="3" xfId="1" applyNumberFormat="1" applyFont="1" applyFill="1" applyBorder="1" applyAlignment="1">
      <alignment horizontal="center" vertical="center"/>
    </xf>
    <xf numFmtId="167" fontId="7" fillId="0" borderId="0" xfId="1" applyNumberFormat="1" applyFont="1" applyFill="1" applyBorder="1" applyAlignment="1">
      <alignment horizontal="center" vertical="center"/>
    </xf>
    <xf numFmtId="167" fontId="7" fillId="0" borderId="0" xfId="1" applyNumberFormat="1" applyFont="1" applyFill="1" applyAlignment="1">
      <alignment horizontal="center" vertical="center"/>
    </xf>
    <xf numFmtId="167" fontId="6" fillId="0" borderId="0" xfId="1" applyNumberFormat="1" applyFont="1" applyFill="1" applyAlignment="1">
      <alignment horizontal="center" vertical="center"/>
    </xf>
    <xf numFmtId="167" fontId="6" fillId="0" borderId="0" xfId="1" applyNumberFormat="1" applyFont="1" applyFill="1" applyAlignment="1">
      <alignment horizontal="center"/>
    </xf>
    <xf numFmtId="169" fontId="6" fillId="0" borderId="0" xfId="2" applyNumberFormat="1" applyFont="1" applyFill="1" applyBorder="1" applyAlignment="1">
      <alignment horizontal="center" vertical="center"/>
    </xf>
    <xf numFmtId="169" fontId="7" fillId="0" borderId="1" xfId="2" applyNumberFormat="1" applyFont="1" applyFill="1" applyBorder="1" applyAlignment="1">
      <alignment horizontal="center" vertical="center"/>
    </xf>
    <xf numFmtId="169" fontId="7" fillId="0" borderId="3" xfId="2" applyNumberFormat="1" applyFont="1" applyFill="1" applyBorder="1" applyAlignment="1">
      <alignment horizontal="center" vertical="center"/>
    </xf>
    <xf numFmtId="0" fontId="7" fillId="0" borderId="3" xfId="0" applyFont="1" applyFill="1" applyBorder="1" applyAlignment="1">
      <alignment horizontal="center" vertical="center"/>
    </xf>
    <xf numFmtId="169" fontId="7" fillId="0" borderId="0" xfId="2" applyNumberFormat="1" applyFont="1" applyFill="1" applyBorder="1" applyAlignment="1">
      <alignment horizontal="center" vertical="center"/>
    </xf>
    <xf numFmtId="169" fontId="6" fillId="0" borderId="0" xfId="2" applyNumberFormat="1" applyFont="1" applyFill="1"/>
    <xf numFmtId="0" fontId="8" fillId="0" borderId="6" xfId="0" applyFont="1" applyFill="1" applyBorder="1" applyAlignment="1">
      <alignment horizontal="center" vertical="center"/>
    </xf>
    <xf numFmtId="0" fontId="8" fillId="0" borderId="2" xfId="0" applyFont="1" applyFill="1" applyBorder="1" applyAlignment="1">
      <alignment horizontal="center" vertical="center"/>
    </xf>
    <xf numFmtId="0" fontId="6" fillId="3" borderId="6" xfId="0" quotePrefix="1" applyFont="1" applyFill="1" applyBorder="1" applyAlignment="1">
      <alignment horizontal="left" vertical="center" wrapText="1"/>
    </xf>
    <xf numFmtId="0" fontId="6" fillId="3" borderId="9" xfId="0" quotePrefix="1" applyFont="1" applyFill="1" applyBorder="1" applyAlignment="1">
      <alignment horizontal="left" vertical="center" wrapText="1"/>
    </xf>
    <xf numFmtId="0" fontId="6" fillId="3" borderId="7" xfId="0" quotePrefix="1" applyFont="1" applyFill="1" applyBorder="1" applyAlignment="1">
      <alignment horizontal="left" vertical="center" wrapText="1"/>
    </xf>
    <xf numFmtId="0" fontId="6" fillId="0" borderId="0" xfId="0" quotePrefix="1" applyFont="1" applyAlignment="1">
      <alignment horizontal="left" vertical="center"/>
    </xf>
    <xf numFmtId="0" fontId="6" fillId="3" borderId="6" xfId="0" quotePrefix="1" applyFont="1" applyFill="1" applyBorder="1" applyAlignment="1">
      <alignment vertical="center" wrapText="1"/>
    </xf>
    <xf numFmtId="0" fontId="6" fillId="3" borderId="9" xfId="0" quotePrefix="1" applyFont="1" applyFill="1" applyBorder="1" applyAlignment="1">
      <alignment vertical="center" wrapText="1"/>
    </xf>
    <xf numFmtId="0" fontId="6" fillId="3" borderId="7" xfId="0" quotePrefix="1" applyFont="1" applyFill="1" applyBorder="1" applyAlignment="1">
      <alignment vertical="center" wrapText="1"/>
    </xf>
    <xf numFmtId="167" fontId="6" fillId="0" borderId="2" xfId="1" applyNumberFormat="1" applyFont="1" applyFill="1" applyBorder="1" applyAlignment="1">
      <alignment horizontal="center" vertical="center" wrapText="1"/>
    </xf>
    <xf numFmtId="0" fontId="6" fillId="3" borderId="20" xfId="0" quotePrefix="1" applyFont="1" applyFill="1" applyBorder="1" applyAlignment="1">
      <alignment horizontal="left" vertical="center" wrapText="1"/>
    </xf>
    <xf numFmtId="0" fontId="6" fillId="3" borderId="16" xfId="0" quotePrefix="1" applyFont="1" applyFill="1" applyBorder="1" applyAlignment="1">
      <alignment horizontal="left" vertical="center" wrapText="1"/>
    </xf>
    <xf numFmtId="0" fontId="6" fillId="0" borderId="6" xfId="0" quotePrefix="1" applyFont="1" applyBorder="1" applyAlignment="1">
      <alignment horizontal="left" vertical="center" wrapText="1"/>
    </xf>
    <xf numFmtId="0" fontId="9"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quotePrefix="1" applyFont="1" applyBorder="1" applyAlignment="1">
      <alignment horizontal="left" vertical="center" wrapText="1"/>
    </xf>
    <xf numFmtId="0" fontId="7" fillId="0" borderId="6" xfId="0" quotePrefix="1" applyFont="1" applyBorder="1" applyAlignment="1">
      <alignment horizontal="left" vertical="center" wrapText="1"/>
    </xf>
    <xf numFmtId="0" fontId="7" fillId="0" borderId="9" xfId="0" quotePrefix="1" applyFont="1" applyBorder="1" applyAlignment="1">
      <alignment horizontal="left" vertical="center" wrapText="1"/>
    </xf>
    <xf numFmtId="0" fontId="7" fillId="0" borderId="9" xfId="0" applyFont="1" applyBorder="1" applyAlignment="1">
      <alignment horizontal="left" vertical="center" wrapText="1"/>
    </xf>
    <xf numFmtId="0" fontId="7" fillId="0" borderId="7" xfId="0" quotePrefix="1" applyFont="1" applyBorder="1" applyAlignment="1">
      <alignment horizontal="left" vertical="center" wrapText="1"/>
    </xf>
    <xf numFmtId="0" fontId="7" fillId="0" borderId="7" xfId="0" applyFont="1" applyBorder="1" applyAlignment="1">
      <alignment horizontal="left"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quotePrefix="1" applyFont="1" applyFill="1" applyBorder="1" applyAlignment="1">
      <alignment horizontal="center" vertical="center" wrapText="1"/>
    </xf>
    <xf numFmtId="0" fontId="7" fillId="0" borderId="2" xfId="0" quotePrefix="1" applyFont="1" applyBorder="1" applyAlignment="1">
      <alignment horizontal="left" vertical="center" wrapText="1"/>
    </xf>
    <xf numFmtId="0" fontId="6" fillId="0" borderId="2" xfId="0" quotePrefix="1" applyFont="1" applyFill="1" applyBorder="1" applyAlignment="1">
      <alignment horizontal="center" vertical="center"/>
    </xf>
    <xf numFmtId="0" fontId="2" fillId="0" borderId="5" xfId="0" applyFont="1" applyFill="1" applyBorder="1" applyAlignment="1">
      <alignment horizontal="center" vertical="center"/>
    </xf>
    <xf numFmtId="3" fontId="2" fillId="0" borderId="2" xfId="0" applyNumberFormat="1" applyFont="1" applyBorder="1" applyAlignment="1">
      <alignment horizontal="left" vertical="center" wrapText="1"/>
    </xf>
    <xf numFmtId="3" fontId="2" fillId="0" borderId="2" xfId="0" quotePrefix="1" applyNumberFormat="1" applyFont="1" applyBorder="1" applyAlignment="1">
      <alignment horizontal="left" vertical="center" wrapText="1"/>
    </xf>
    <xf numFmtId="167" fontId="6" fillId="0" borderId="2" xfId="1" quotePrefix="1" applyNumberFormat="1" applyFont="1" applyFill="1" applyBorder="1" applyAlignment="1">
      <alignment horizontal="left" vertical="center" wrapText="1"/>
    </xf>
    <xf numFmtId="167" fontId="6" fillId="0" borderId="6" xfId="1" quotePrefix="1" applyNumberFormat="1" applyFont="1" applyFill="1" applyBorder="1" applyAlignment="1">
      <alignment horizontal="left" vertical="center"/>
    </xf>
    <xf numFmtId="0" fontId="0" fillId="0" borderId="0" xfId="0" applyFont="1" applyAlignment="1">
      <alignment horizontal="left" wrapText="1"/>
    </xf>
    <xf numFmtId="0" fontId="0" fillId="0" borderId="0" xfId="0" applyFont="1"/>
    <xf numFmtId="0" fontId="0" fillId="0" borderId="0" xfId="0" applyFont="1" applyBorder="1"/>
    <xf numFmtId="0" fontId="3" fillId="5" borderId="9"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2"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3" fontId="2" fillId="5" borderId="2" xfId="0" applyNumberFormat="1" applyFont="1" applyFill="1" applyBorder="1" applyAlignment="1">
      <alignment horizontal="center" vertical="center"/>
    </xf>
    <xf numFmtId="164" fontId="2" fillId="5" borderId="2" xfId="0" applyNumberFormat="1" applyFont="1" applyFill="1" applyBorder="1" applyAlignment="1">
      <alignment horizontal="center" vertical="center"/>
    </xf>
    <xf numFmtId="164" fontId="2" fillId="0" borderId="2" xfId="0" applyNumberFormat="1" applyFont="1" applyFill="1" applyBorder="1" applyAlignment="1">
      <alignment horizontal="center" vertical="center"/>
    </xf>
    <xf numFmtId="3" fontId="2" fillId="0" borderId="2" xfId="0" applyNumberFormat="1" applyFont="1" applyFill="1" applyBorder="1" applyAlignment="1">
      <alignment horizontal="center" vertical="center"/>
    </xf>
    <xf numFmtId="169" fontId="2" fillId="0" borderId="2" xfId="2" applyNumberFormat="1" applyFont="1" applyFill="1" applyBorder="1" applyAlignment="1">
      <alignment horizontal="center" vertical="center"/>
    </xf>
    <xf numFmtId="165" fontId="2" fillId="0" borderId="2" xfId="1" applyNumberFormat="1" applyFont="1" applyFill="1" applyBorder="1" applyAlignment="1">
      <alignment horizontal="center" vertical="center"/>
    </xf>
    <xf numFmtId="0" fontId="0" fillId="0" borderId="0" xfId="0" applyFont="1" applyFill="1"/>
    <xf numFmtId="3" fontId="2" fillId="0" borderId="2" xfId="0" quotePrefix="1" applyNumberFormat="1" applyFont="1" applyFill="1" applyBorder="1" applyAlignment="1">
      <alignment horizontal="center" vertical="center" wrapText="1"/>
    </xf>
    <xf numFmtId="0" fontId="0" fillId="5" borderId="0" xfId="0" applyFont="1" applyFill="1"/>
    <xf numFmtId="0" fontId="0" fillId="5" borderId="0" xfId="0" applyFont="1" applyFill="1" applyAlignment="1">
      <alignment horizontal="center"/>
    </xf>
    <xf numFmtId="0" fontId="0" fillId="0" borderId="0" xfId="0" applyFont="1" applyFill="1" applyAlignment="1">
      <alignment horizontal="center"/>
    </xf>
    <xf numFmtId="0" fontId="0" fillId="0" borderId="0" xfId="0" applyFont="1" applyAlignment="1">
      <alignment horizontal="center"/>
    </xf>
    <xf numFmtId="165" fontId="11" fillId="0" borderId="1" xfId="0" applyNumberFormat="1" applyFont="1" applyBorder="1" applyAlignment="1">
      <alignment horizontal="center" vertical="center"/>
    </xf>
    <xf numFmtId="0" fontId="9" fillId="0" borderId="0" xfId="0" applyFont="1" applyAlignment="1">
      <alignment horizontal="center"/>
    </xf>
    <xf numFmtId="0" fontId="6" fillId="3" borderId="17"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5"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5" xfId="0" applyFont="1" applyFill="1" applyBorder="1" applyAlignment="1">
      <alignment horizontal="center" vertical="center"/>
    </xf>
    <xf numFmtId="0" fontId="10" fillId="4" borderId="3" xfId="0" applyFont="1" applyFill="1" applyBorder="1" applyAlignment="1">
      <alignment horizontal="center" vertical="center" wrapText="1"/>
    </xf>
    <xf numFmtId="0" fontId="10" fillId="4" borderId="11" xfId="0" applyFont="1" applyFill="1" applyBorder="1" applyAlignment="1">
      <alignment horizontal="center" vertical="center" wrapText="1"/>
    </xf>
    <xf numFmtId="3" fontId="10" fillId="0" borderId="12" xfId="0" applyNumberFormat="1" applyFont="1" applyBorder="1" applyAlignment="1">
      <alignment horizontal="left" vertical="center" wrapText="1"/>
    </xf>
    <xf numFmtId="3" fontId="10" fillId="0" borderId="14" xfId="0" applyNumberFormat="1" applyFont="1" applyBorder="1" applyAlignment="1">
      <alignment horizontal="left" vertical="center" wrapText="1"/>
    </xf>
    <xf numFmtId="3" fontId="10" fillId="0" borderId="13" xfId="0" applyNumberFormat="1" applyFont="1" applyBorder="1" applyAlignment="1">
      <alignment horizontal="left" vertical="center" wrapText="1"/>
    </xf>
    <xf numFmtId="0" fontId="6" fillId="3" borderId="6"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7"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7" xfId="0" applyFont="1" applyFill="1" applyBorder="1" applyAlignment="1">
      <alignment horizontal="center" vertical="center"/>
    </xf>
    <xf numFmtId="43" fontId="6" fillId="4" borderId="6" xfId="1" applyFont="1" applyFill="1" applyBorder="1" applyAlignment="1">
      <alignment horizontal="center" vertical="center"/>
    </xf>
    <xf numFmtId="43" fontId="6" fillId="4" borderId="9" xfId="1" applyFont="1" applyFill="1" applyBorder="1" applyAlignment="1">
      <alignment horizontal="center" vertical="center"/>
    </xf>
    <xf numFmtId="43" fontId="6" fillId="4" borderId="7" xfId="1"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167" fontId="4" fillId="0" borderId="6" xfId="1" applyNumberFormat="1" applyFont="1" applyFill="1" applyBorder="1" applyAlignment="1">
      <alignment horizontal="center" vertical="center" wrapText="1"/>
    </xf>
    <xf numFmtId="167" fontId="4" fillId="0" borderId="7" xfId="1"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9" fillId="0" borderId="0" xfId="0" applyFont="1" applyBorder="1" applyAlignment="1">
      <alignment horizontal="center" vertical="center" wrapText="1"/>
    </xf>
    <xf numFmtId="0" fontId="12" fillId="0" borderId="0" xfId="0" applyFont="1" applyBorder="1" applyAlignment="1">
      <alignment horizontal="center" vertical="center"/>
    </xf>
    <xf numFmtId="0" fontId="12" fillId="0" borderId="0" xfId="0" applyFont="1" applyBorder="1" applyAlignment="1">
      <alignment horizontal="left" vertical="center"/>
    </xf>
    <xf numFmtId="0" fontId="12" fillId="0" borderId="0" xfId="0" applyFont="1" applyBorder="1"/>
    <xf numFmtId="0" fontId="12" fillId="0" borderId="0" xfId="0" applyFont="1" applyFill="1" applyBorder="1" applyAlignment="1">
      <alignment horizontal="center"/>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4" borderId="6" xfId="0" applyFont="1" applyFill="1" applyBorder="1" applyAlignment="1">
      <alignment horizontal="center" vertical="center" wrapText="1"/>
    </xf>
    <xf numFmtId="0" fontId="4" fillId="4" borderId="9" xfId="0" applyFont="1" applyFill="1" applyBorder="1" applyAlignment="1">
      <alignment horizontal="center" vertical="center" wrapText="1"/>
    </xf>
    <xf numFmtId="43" fontId="4" fillId="4" borderId="6" xfId="1" applyFont="1" applyFill="1" applyBorder="1" applyAlignment="1">
      <alignment horizontal="center" vertical="center" wrapText="1"/>
    </xf>
    <xf numFmtId="43" fontId="4" fillId="4" borderId="9" xfId="1" applyFont="1" applyFill="1" applyBorder="1" applyAlignment="1">
      <alignment horizontal="center" vertical="center" wrapText="1"/>
    </xf>
    <xf numFmtId="167" fontId="4" fillId="4" borderId="6" xfId="1" applyNumberFormat="1" applyFont="1" applyFill="1" applyBorder="1" applyAlignment="1">
      <alignment horizontal="center" vertical="center" wrapText="1"/>
    </xf>
    <xf numFmtId="167" fontId="4" fillId="4" borderId="9" xfId="1" applyNumberFormat="1" applyFont="1" applyFill="1" applyBorder="1" applyAlignment="1">
      <alignment horizontal="center" vertical="center" wrapText="1"/>
    </xf>
    <xf numFmtId="43" fontId="4" fillId="0" borderId="6" xfId="1" applyFont="1" applyBorder="1" applyAlignment="1">
      <alignment horizontal="center" vertical="center" wrapText="1"/>
    </xf>
    <xf numFmtId="43" fontId="4" fillId="0" borderId="9" xfId="1" applyFont="1" applyBorder="1" applyAlignment="1">
      <alignment horizontal="center" vertical="center" wrapText="1"/>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169" fontId="4" fillId="0" borderId="6" xfId="2" applyNumberFormat="1" applyFont="1" applyFill="1" applyBorder="1" applyAlignment="1">
      <alignment horizontal="center" vertical="center" wrapText="1"/>
    </xf>
    <xf numFmtId="169" fontId="4" fillId="0" borderId="7" xfId="2" applyNumberFormat="1" applyFont="1" applyFill="1" applyBorder="1" applyAlignment="1">
      <alignment horizontal="center" vertical="center" wrapText="1"/>
    </xf>
    <xf numFmtId="0" fontId="9" fillId="0" borderId="0" xfId="0" applyFont="1" applyFill="1" applyAlignment="1">
      <alignment horizontal="center" vertical="center"/>
    </xf>
    <xf numFmtId="168" fontId="6" fillId="0" borderId="18" xfId="1" applyNumberFormat="1" applyFont="1" applyFill="1" applyBorder="1" applyAlignment="1">
      <alignment vertical="center"/>
    </xf>
    <xf numFmtId="168" fontId="6" fillId="0" borderId="19" xfId="1" applyNumberFormat="1" applyFont="1" applyFill="1" applyBorder="1" applyAlignment="1">
      <alignment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4"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4" fillId="0" borderId="2" xfId="0" applyFont="1" applyFill="1" applyBorder="1" applyAlignment="1">
      <alignment horizontal="center"/>
    </xf>
    <xf numFmtId="0" fontId="9" fillId="0" borderId="0" xfId="0" applyFont="1" applyFill="1" applyBorder="1" applyAlignment="1">
      <alignment horizontal="center" wrapText="1"/>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9" xfId="0" applyFont="1" applyFill="1" applyBorder="1" applyAlignment="1">
      <alignment horizontal="center" vertical="center"/>
    </xf>
    <xf numFmtId="168" fontId="6" fillId="0" borderId="6" xfId="1" applyNumberFormat="1" applyFont="1" applyFill="1" applyBorder="1" applyAlignment="1">
      <alignment vertical="center"/>
    </xf>
    <xf numFmtId="168" fontId="6" fillId="0" borderId="7" xfId="1" applyNumberFormat="1" applyFont="1" applyFill="1" applyBorder="1" applyAlignment="1">
      <alignment vertical="center"/>
    </xf>
    <xf numFmtId="0" fontId="6" fillId="0" borderId="6"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4" fillId="0" borderId="7" xfId="0" applyFont="1" applyBorder="1" applyAlignment="1">
      <alignment horizontal="center" vertical="center" wrapText="1"/>
    </xf>
    <xf numFmtId="169" fontId="4" fillId="0" borderId="6" xfId="2" applyNumberFormat="1" applyFont="1" applyBorder="1" applyAlignment="1">
      <alignment horizontal="center" vertical="center" wrapText="1"/>
    </xf>
    <xf numFmtId="169" fontId="4" fillId="0" borderId="7" xfId="2" applyNumberFormat="1" applyFont="1" applyBorder="1" applyAlignment="1">
      <alignment horizontal="center" vertical="center" wrapText="1"/>
    </xf>
    <xf numFmtId="0" fontId="3" fillId="0" borderId="0" xfId="0" applyFont="1" applyAlignment="1">
      <alignment horizontal="center"/>
    </xf>
    <xf numFmtId="0" fontId="3" fillId="0" borderId="2" xfId="0" applyFont="1" applyBorder="1" applyAlignment="1">
      <alignment horizontal="center" vertical="center"/>
    </xf>
    <xf numFmtId="0" fontId="3" fillId="5" borderId="6"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0" borderId="0" xfId="0" applyFont="1" applyBorder="1" applyAlignment="1">
      <alignment horizontal="center" wrapText="1"/>
    </xf>
    <xf numFmtId="0" fontId="3" fillId="0" borderId="0" xfId="0" applyFont="1" applyFill="1" applyBorder="1" applyAlignment="1">
      <alignment horizont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169" fontId="3" fillId="0" borderId="6" xfId="2" applyNumberFormat="1" applyFont="1" applyBorder="1" applyAlignment="1">
      <alignment horizontal="center" vertical="center" wrapText="1"/>
    </xf>
    <xf numFmtId="169" fontId="3" fillId="0" borderId="7" xfId="2" applyNumberFormat="1" applyFont="1" applyBorder="1" applyAlignment="1">
      <alignment horizontal="center" vertical="center" wrapText="1"/>
    </xf>
    <xf numFmtId="0" fontId="3" fillId="0" borderId="2" xfId="0" applyFont="1" applyBorder="1" applyAlignment="1">
      <alignment horizontal="center" vertical="center" wrapText="1"/>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5" borderId="7" xfId="0" applyFont="1" applyFill="1" applyBorder="1" applyAlignment="1">
      <alignment horizontal="center" vertical="center" wrapText="1"/>
    </xf>
  </cellXfs>
  <cellStyles count="3">
    <cellStyle name="Comma" xfId="1" builtinId="3"/>
    <cellStyle name="Normal" xfId="0" builtinId="0"/>
    <cellStyle name="Percent" xfId="2" builtinId="5"/>
  </cellStyles>
  <dxfs count="4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35"/>
  <sheetViews>
    <sheetView zoomScale="85" zoomScaleNormal="85" workbookViewId="0">
      <pane xSplit="3" ySplit="5" topLeftCell="D6" activePane="bottomRight" state="frozen"/>
      <selection pane="topRight" activeCell="C1" sqref="C1"/>
      <selection pane="bottomLeft" activeCell="A4" sqref="A4"/>
      <selection pane="bottomRight" activeCell="A3" sqref="A3:Z3"/>
    </sheetView>
  </sheetViews>
  <sheetFormatPr defaultRowHeight="16.5" x14ac:dyDescent="0.25"/>
  <cols>
    <col min="1" max="1" width="6.85546875" style="73" customWidth="1"/>
    <col min="2" max="2" width="6.85546875" style="164" hidden="1" customWidth="1"/>
    <col min="3" max="3" width="10.42578125" style="164" hidden="1" customWidth="1"/>
    <col min="4" max="4" width="28.42578125" style="165" customWidth="1"/>
    <col min="5" max="5" width="10.140625" style="166" hidden="1" customWidth="1"/>
    <col min="6" max="6" width="11.42578125" style="167" hidden="1" customWidth="1"/>
    <col min="7" max="7" width="11.42578125" style="168" hidden="1" customWidth="1"/>
    <col min="8" max="8" width="19.140625" style="230" customWidth="1"/>
    <col min="9" max="9" width="19.7109375" style="230" customWidth="1"/>
    <col min="10" max="10" width="12.28515625" style="169" customWidth="1"/>
    <col min="11" max="11" width="14" style="73" customWidth="1"/>
    <col min="12" max="12" width="11.85546875" style="164" hidden="1" customWidth="1"/>
    <col min="13" max="13" width="10.42578125" style="73" customWidth="1"/>
    <col min="14" max="14" width="10.28515625" style="73" customWidth="1"/>
    <col min="15" max="15" width="10.28515625" style="164" hidden="1" customWidth="1"/>
    <col min="16" max="17" width="12.140625" style="62" customWidth="1"/>
    <col min="18" max="18" width="10.7109375" style="73" customWidth="1"/>
    <col min="19" max="19" width="10.7109375" style="236" customWidth="1"/>
    <col min="20" max="20" width="10.7109375" style="62" customWidth="1"/>
    <col min="21" max="21" width="10.7109375" style="12" customWidth="1"/>
    <col min="22" max="22" width="18.85546875" style="73" customWidth="1"/>
    <col min="23" max="23" width="16.85546875" style="73" customWidth="1"/>
    <col min="24" max="24" width="18.5703125" style="73" customWidth="1"/>
    <col min="25" max="25" width="21" style="73" customWidth="1"/>
    <col min="26" max="26" width="20.28515625" style="73" customWidth="1"/>
    <col min="27" max="16384" width="9.140625" style="73"/>
  </cols>
  <sheetData>
    <row r="1" spans="1:26" x14ac:dyDescent="0.25">
      <c r="A1" s="291" t="s">
        <v>224</v>
      </c>
      <c r="B1" s="291"/>
      <c r="C1" s="291"/>
      <c r="D1" s="291"/>
      <c r="E1" s="291"/>
      <c r="F1" s="291"/>
      <c r="G1" s="291"/>
      <c r="H1" s="291"/>
      <c r="I1" s="291"/>
      <c r="J1" s="291"/>
      <c r="K1" s="291"/>
      <c r="L1" s="291"/>
      <c r="M1" s="291"/>
      <c r="N1" s="291"/>
      <c r="O1" s="291"/>
      <c r="P1" s="291"/>
      <c r="Q1" s="291"/>
      <c r="R1" s="291"/>
      <c r="S1" s="291"/>
      <c r="T1" s="291"/>
      <c r="U1" s="291"/>
      <c r="V1" s="291"/>
      <c r="W1" s="291"/>
      <c r="X1" s="291"/>
      <c r="Y1" s="291"/>
      <c r="Z1" s="291"/>
    </row>
    <row r="2" spans="1:26" s="69" customFormat="1" ht="47.25" customHeight="1" x14ac:dyDescent="0.25">
      <c r="A2" s="317" t="s">
        <v>259</v>
      </c>
      <c r="B2" s="317"/>
      <c r="C2" s="317"/>
      <c r="D2" s="317"/>
      <c r="E2" s="317"/>
      <c r="F2" s="317"/>
      <c r="G2" s="317"/>
      <c r="H2" s="317"/>
      <c r="I2" s="317"/>
      <c r="J2" s="317"/>
      <c r="K2" s="317"/>
      <c r="L2" s="317"/>
      <c r="M2" s="317"/>
      <c r="N2" s="317"/>
      <c r="O2" s="317"/>
      <c r="P2" s="317"/>
      <c r="Q2" s="317"/>
      <c r="R2" s="317"/>
      <c r="S2" s="317"/>
      <c r="T2" s="317"/>
      <c r="U2" s="317"/>
      <c r="V2" s="317"/>
      <c r="W2" s="317"/>
      <c r="X2" s="317"/>
      <c r="Y2" s="317"/>
      <c r="Z2" s="317"/>
    </row>
    <row r="3" spans="1:26" s="69" customFormat="1" ht="29.25" customHeight="1" x14ac:dyDescent="0.25">
      <c r="A3" s="318" t="s">
        <v>261</v>
      </c>
      <c r="B3" s="318"/>
      <c r="C3" s="318"/>
      <c r="D3" s="319"/>
      <c r="E3" s="319"/>
      <c r="F3" s="319"/>
      <c r="G3" s="319"/>
      <c r="H3" s="319"/>
      <c r="I3" s="319"/>
      <c r="J3" s="319"/>
      <c r="K3" s="318"/>
      <c r="L3" s="318"/>
      <c r="M3" s="320"/>
      <c r="N3" s="320"/>
      <c r="O3" s="320"/>
      <c r="P3" s="321"/>
      <c r="Q3" s="321"/>
      <c r="R3" s="320"/>
      <c r="S3" s="320"/>
      <c r="T3" s="320"/>
      <c r="U3" s="320"/>
      <c r="V3" s="320"/>
      <c r="W3" s="320"/>
      <c r="X3" s="320"/>
      <c r="Y3" s="320"/>
      <c r="Z3" s="320"/>
    </row>
    <row r="4" spans="1:26" ht="19.5" customHeight="1" x14ac:dyDescent="0.25">
      <c r="A4" s="70" t="s">
        <v>0</v>
      </c>
      <c r="B4" s="71" t="s">
        <v>36</v>
      </c>
      <c r="C4" s="72" t="s">
        <v>27</v>
      </c>
      <c r="D4" s="322" t="s">
        <v>168</v>
      </c>
      <c r="E4" s="324" t="s">
        <v>26</v>
      </c>
      <c r="F4" s="326" t="s">
        <v>39</v>
      </c>
      <c r="G4" s="328" t="s">
        <v>260</v>
      </c>
      <c r="H4" s="314" t="s">
        <v>94</v>
      </c>
      <c r="I4" s="314" t="s">
        <v>95</v>
      </c>
      <c r="J4" s="330" t="s">
        <v>31</v>
      </c>
      <c r="K4" s="332" t="s">
        <v>4</v>
      </c>
      <c r="L4" s="334" t="s">
        <v>25</v>
      </c>
      <c r="M4" s="334"/>
      <c r="N4" s="334"/>
      <c r="O4" s="334"/>
      <c r="P4" s="335"/>
      <c r="Q4" s="335"/>
      <c r="R4" s="334"/>
      <c r="S4" s="336" t="s">
        <v>44</v>
      </c>
      <c r="T4" s="312" t="s">
        <v>45</v>
      </c>
      <c r="U4" s="312" t="s">
        <v>46</v>
      </c>
      <c r="V4" s="316" t="s">
        <v>47</v>
      </c>
      <c r="W4" s="316"/>
      <c r="X4" s="316"/>
      <c r="Y4" s="316"/>
      <c r="Z4" s="316" t="s">
        <v>52</v>
      </c>
    </row>
    <row r="5" spans="1:26" ht="90.75" customHeight="1" x14ac:dyDescent="0.25">
      <c r="A5" s="74"/>
      <c r="B5" s="75"/>
      <c r="C5" s="76"/>
      <c r="D5" s="323"/>
      <c r="E5" s="325"/>
      <c r="F5" s="327"/>
      <c r="G5" s="329"/>
      <c r="H5" s="315"/>
      <c r="I5" s="315"/>
      <c r="J5" s="331"/>
      <c r="K5" s="333"/>
      <c r="L5" s="77"/>
      <c r="M5" s="206" t="s">
        <v>225</v>
      </c>
      <c r="N5" s="206" t="s">
        <v>226</v>
      </c>
      <c r="O5" s="77"/>
      <c r="P5" s="207" t="s">
        <v>28</v>
      </c>
      <c r="Q5" s="207" t="s">
        <v>38</v>
      </c>
      <c r="R5" s="70" t="s">
        <v>1</v>
      </c>
      <c r="S5" s="337"/>
      <c r="T5" s="313"/>
      <c r="U5" s="313"/>
      <c r="V5" s="67" t="s">
        <v>48</v>
      </c>
      <c r="W5" s="67" t="s">
        <v>49</v>
      </c>
      <c r="X5" s="67" t="s">
        <v>50</v>
      </c>
      <c r="Y5" s="68" t="s">
        <v>51</v>
      </c>
      <c r="Z5" s="316"/>
    </row>
    <row r="6" spans="1:26" s="12" customFormat="1" ht="76.5" customHeight="1" x14ac:dyDescent="0.25">
      <c r="A6" s="5">
        <f>MAX($A$5:A5)+1</f>
        <v>1</v>
      </c>
      <c r="B6" s="37">
        <v>2</v>
      </c>
      <c r="C6" s="37">
        <v>19.146999999999998</v>
      </c>
      <c r="D6" s="11" t="s">
        <v>246</v>
      </c>
      <c r="E6" s="37">
        <v>3</v>
      </c>
      <c r="F6" s="80">
        <f>1282.6+(86.05*3)</f>
        <v>1540.75</v>
      </c>
      <c r="G6" s="81">
        <v>0</v>
      </c>
      <c r="H6" s="266" t="s">
        <v>96</v>
      </c>
      <c r="I6" s="220"/>
      <c r="J6" s="82">
        <f>F6-G6</f>
        <v>1540.75</v>
      </c>
      <c r="K6" s="5" t="s">
        <v>6</v>
      </c>
      <c r="L6" s="37" t="s">
        <v>8</v>
      </c>
      <c r="M6" s="5">
        <v>113</v>
      </c>
      <c r="N6" s="5">
        <v>843</v>
      </c>
      <c r="O6" s="37">
        <v>153.30000000000001</v>
      </c>
      <c r="P6" s="5">
        <v>153.30000000000001</v>
      </c>
      <c r="Q6" s="5">
        <f t="shared" ref="Q6:Q14" si="0">P6</f>
        <v>153.30000000000001</v>
      </c>
      <c r="R6" s="5" t="s">
        <v>2</v>
      </c>
      <c r="S6" s="21">
        <f t="shared" ref="S6:S29" si="1">Q6/J6</f>
        <v>9.9496998215154966E-2</v>
      </c>
      <c r="T6" s="5">
        <f t="shared" ref="T6:T29" si="2">IF(S6="",0,IF(S6&lt;10%,2,IF(S6&lt;20%,3,IF(S6&lt;30%,5,IF(S6&lt;=70%,6,IF(S6&gt;70%,12))))))</f>
        <v>2</v>
      </c>
      <c r="U6" s="5">
        <v>4</v>
      </c>
      <c r="V6" s="83">
        <f t="shared" ref="V6:V29" si="3">Q6*100000</f>
        <v>15330000.000000002</v>
      </c>
      <c r="W6" s="83">
        <f t="shared" ref="W6:W29" si="4">Q6*10000</f>
        <v>1533000</v>
      </c>
      <c r="X6" s="83">
        <f t="shared" ref="X6:X29" si="5">Q6*300000</f>
        <v>45990000</v>
      </c>
      <c r="Y6" s="83">
        <f t="shared" ref="Y6:Y29" si="6">30*17000*T6*U6</f>
        <v>4080000</v>
      </c>
      <c r="Z6" s="83">
        <f t="shared" ref="Z6:Z34" si="7">SUM(V6:Y6)</f>
        <v>66933000</v>
      </c>
    </row>
    <row r="7" spans="1:26" s="84" customFormat="1" ht="25.5" customHeight="1" x14ac:dyDescent="0.25">
      <c r="A7" s="303">
        <f>MAX($A$5:A6)+1</f>
        <v>2</v>
      </c>
      <c r="B7" s="37">
        <v>2</v>
      </c>
      <c r="C7" s="37">
        <v>15.94</v>
      </c>
      <c r="D7" s="171" t="s">
        <v>247</v>
      </c>
      <c r="E7" s="44">
        <v>2</v>
      </c>
      <c r="F7" s="172">
        <f>915.9+(2*86.05)</f>
        <v>1088</v>
      </c>
      <c r="G7" s="87">
        <v>0</v>
      </c>
      <c r="H7" s="267" t="s">
        <v>97</v>
      </c>
      <c r="I7" s="221"/>
      <c r="J7" s="88">
        <f>F7-G7</f>
        <v>1088</v>
      </c>
      <c r="K7" s="89" t="s">
        <v>6</v>
      </c>
      <c r="L7" s="44" t="s">
        <v>8</v>
      </c>
      <c r="M7" s="89">
        <v>113</v>
      </c>
      <c r="N7" s="89">
        <v>844</v>
      </c>
      <c r="O7" s="44">
        <v>179.1</v>
      </c>
      <c r="P7" s="24">
        <v>145.6</v>
      </c>
      <c r="Q7" s="24">
        <f t="shared" si="0"/>
        <v>145.6</v>
      </c>
      <c r="R7" s="89" t="s">
        <v>2</v>
      </c>
      <c r="S7" s="32">
        <f t="shared" si="1"/>
        <v>0.1338235294117647</v>
      </c>
      <c r="T7" s="208">
        <f t="shared" si="2"/>
        <v>3</v>
      </c>
      <c r="U7" s="208">
        <v>2</v>
      </c>
      <c r="V7" s="90">
        <f t="shared" si="3"/>
        <v>14560000</v>
      </c>
      <c r="W7" s="90">
        <f t="shared" si="4"/>
        <v>1456000</v>
      </c>
      <c r="X7" s="90">
        <f t="shared" si="5"/>
        <v>43680000</v>
      </c>
      <c r="Y7" s="90">
        <f t="shared" si="6"/>
        <v>3060000</v>
      </c>
      <c r="Z7" s="90">
        <f t="shared" si="7"/>
        <v>62756000</v>
      </c>
    </row>
    <row r="8" spans="1:26" s="84" customFormat="1" ht="25.5" customHeight="1" x14ac:dyDescent="0.25">
      <c r="A8" s="305"/>
      <c r="B8" s="37"/>
      <c r="C8" s="37"/>
      <c r="D8" s="175" t="s">
        <v>67</v>
      </c>
      <c r="E8" s="45"/>
      <c r="F8" s="176"/>
      <c r="G8" s="91"/>
      <c r="H8" s="222"/>
      <c r="I8" s="222"/>
      <c r="J8" s="92"/>
      <c r="K8" s="93"/>
      <c r="L8" s="45"/>
      <c r="M8" s="93"/>
      <c r="N8" s="93"/>
      <c r="O8" s="45"/>
      <c r="P8" s="25"/>
      <c r="Q8" s="25"/>
      <c r="R8" s="93"/>
      <c r="S8" s="34"/>
      <c r="T8" s="210"/>
      <c r="U8" s="210"/>
      <c r="V8" s="94"/>
      <c r="W8" s="94"/>
      <c r="X8" s="94"/>
      <c r="Y8" s="94"/>
      <c r="Z8" s="94">
        <f t="shared" si="7"/>
        <v>0</v>
      </c>
    </row>
    <row r="9" spans="1:26" s="84" customFormat="1" ht="26.25" customHeight="1" x14ac:dyDescent="0.25">
      <c r="A9" s="303">
        <f>MAX($A$5:A8)+1</f>
        <v>3</v>
      </c>
      <c r="B9" s="37">
        <v>2</v>
      </c>
      <c r="C9" s="37">
        <v>10.6</v>
      </c>
      <c r="D9" s="171" t="s">
        <v>248</v>
      </c>
      <c r="E9" s="44">
        <v>3</v>
      </c>
      <c r="F9" s="172">
        <f>1213.9+(3*86.05)</f>
        <v>1472.0500000000002</v>
      </c>
      <c r="G9" s="87">
        <v>660</v>
      </c>
      <c r="H9" s="239" t="s">
        <v>98</v>
      </c>
      <c r="I9" s="171"/>
      <c r="J9" s="88">
        <f>F9-G9</f>
        <v>812.05000000000018</v>
      </c>
      <c r="K9" s="89" t="s">
        <v>6</v>
      </c>
      <c r="L9" s="44" t="s">
        <v>9</v>
      </c>
      <c r="M9" s="89">
        <v>113</v>
      </c>
      <c r="N9" s="89">
        <v>825</v>
      </c>
      <c r="O9" s="44">
        <v>99.7</v>
      </c>
      <c r="P9" s="24">
        <v>99.7</v>
      </c>
      <c r="Q9" s="24">
        <f t="shared" si="0"/>
        <v>99.7</v>
      </c>
      <c r="R9" s="89" t="s">
        <v>2</v>
      </c>
      <c r="S9" s="32">
        <f t="shared" si="1"/>
        <v>0.12277569115202264</v>
      </c>
      <c r="T9" s="208">
        <f t="shared" si="2"/>
        <v>3</v>
      </c>
      <c r="U9" s="208">
        <v>4</v>
      </c>
      <c r="V9" s="90">
        <f t="shared" si="3"/>
        <v>9970000</v>
      </c>
      <c r="W9" s="90">
        <f t="shared" si="4"/>
        <v>997000</v>
      </c>
      <c r="X9" s="90">
        <f t="shared" si="5"/>
        <v>29910000</v>
      </c>
      <c r="Y9" s="90">
        <f t="shared" si="6"/>
        <v>6120000</v>
      </c>
      <c r="Z9" s="90">
        <f t="shared" si="7"/>
        <v>46997000</v>
      </c>
    </row>
    <row r="10" spans="1:26" s="84" customFormat="1" ht="26.25" customHeight="1" x14ac:dyDescent="0.25">
      <c r="A10" s="304"/>
      <c r="B10" s="37"/>
      <c r="C10" s="37"/>
      <c r="D10" s="173" t="s">
        <v>69</v>
      </c>
      <c r="E10" s="95"/>
      <c r="F10" s="174"/>
      <c r="G10" s="96"/>
      <c r="H10" s="240" t="s">
        <v>99</v>
      </c>
      <c r="I10" s="240" t="s">
        <v>100</v>
      </c>
      <c r="J10" s="97"/>
      <c r="K10" s="98"/>
      <c r="L10" s="95"/>
      <c r="M10" s="98"/>
      <c r="N10" s="98"/>
      <c r="O10" s="95"/>
      <c r="P10" s="187"/>
      <c r="Q10" s="187"/>
      <c r="R10" s="98"/>
      <c r="S10" s="191"/>
      <c r="T10" s="209"/>
      <c r="U10" s="209"/>
      <c r="V10" s="100"/>
      <c r="W10" s="100"/>
      <c r="X10" s="100"/>
      <c r="Y10" s="100"/>
      <c r="Z10" s="100">
        <f t="shared" si="7"/>
        <v>0</v>
      </c>
    </row>
    <row r="11" spans="1:26" s="84" customFormat="1" ht="26.25" customHeight="1" x14ac:dyDescent="0.25">
      <c r="A11" s="305"/>
      <c r="B11" s="37"/>
      <c r="C11" s="37"/>
      <c r="D11" s="175" t="s">
        <v>68</v>
      </c>
      <c r="E11" s="45"/>
      <c r="F11" s="176"/>
      <c r="G11" s="91"/>
      <c r="H11" s="241" t="s">
        <v>101</v>
      </c>
      <c r="I11" s="175"/>
      <c r="J11" s="92"/>
      <c r="K11" s="93"/>
      <c r="L11" s="45"/>
      <c r="M11" s="93"/>
      <c r="N11" s="93"/>
      <c r="O11" s="45"/>
      <c r="P11" s="25"/>
      <c r="Q11" s="25"/>
      <c r="R11" s="93"/>
      <c r="S11" s="34"/>
      <c r="T11" s="210"/>
      <c r="U11" s="210"/>
      <c r="V11" s="94"/>
      <c r="W11" s="94"/>
      <c r="X11" s="94"/>
      <c r="Y11" s="94"/>
      <c r="Z11" s="94">
        <f t="shared" si="7"/>
        <v>0</v>
      </c>
    </row>
    <row r="12" spans="1:26" s="84" customFormat="1" ht="28.5" customHeight="1" x14ac:dyDescent="0.25">
      <c r="A12" s="303">
        <f>MAX($A$5:A11)+1</f>
        <v>4</v>
      </c>
      <c r="B12" s="37">
        <v>2</v>
      </c>
      <c r="C12" s="85">
        <v>18.14</v>
      </c>
      <c r="D12" s="171" t="s">
        <v>249</v>
      </c>
      <c r="E12" s="44">
        <v>2</v>
      </c>
      <c r="F12" s="172">
        <f>1199.7+(2*86.05)</f>
        <v>1371.8</v>
      </c>
      <c r="G12" s="87">
        <f>173+660</f>
        <v>833</v>
      </c>
      <c r="H12" s="239" t="s">
        <v>102</v>
      </c>
      <c r="I12" s="239" t="s">
        <v>103</v>
      </c>
      <c r="J12" s="88">
        <f>F12-G12</f>
        <v>538.79999999999995</v>
      </c>
      <c r="K12" s="89" t="s">
        <v>6</v>
      </c>
      <c r="L12" s="44" t="s">
        <v>9</v>
      </c>
      <c r="M12" s="89">
        <v>113</v>
      </c>
      <c r="N12" s="89">
        <v>826</v>
      </c>
      <c r="O12" s="44">
        <v>250</v>
      </c>
      <c r="P12" s="24">
        <v>170.2</v>
      </c>
      <c r="Q12" s="24">
        <f t="shared" si="0"/>
        <v>170.2</v>
      </c>
      <c r="R12" s="89" t="s">
        <v>2</v>
      </c>
      <c r="S12" s="32">
        <f t="shared" si="1"/>
        <v>0.31588715664439498</v>
      </c>
      <c r="T12" s="208">
        <f t="shared" si="2"/>
        <v>6</v>
      </c>
      <c r="U12" s="208">
        <v>9</v>
      </c>
      <c r="V12" s="90">
        <f t="shared" si="3"/>
        <v>17020000</v>
      </c>
      <c r="W12" s="90">
        <f t="shared" si="4"/>
        <v>1702000</v>
      </c>
      <c r="X12" s="90">
        <f t="shared" si="5"/>
        <v>51060000</v>
      </c>
      <c r="Y12" s="90">
        <f t="shared" si="6"/>
        <v>27540000</v>
      </c>
      <c r="Z12" s="90">
        <f t="shared" si="7"/>
        <v>97322000</v>
      </c>
    </row>
    <row r="13" spans="1:26" s="84" customFormat="1" ht="28.5" customHeight="1" x14ac:dyDescent="0.25">
      <c r="A13" s="305"/>
      <c r="B13" s="37"/>
      <c r="C13" s="85"/>
      <c r="D13" s="175" t="s">
        <v>70</v>
      </c>
      <c r="E13" s="45"/>
      <c r="F13" s="176"/>
      <c r="G13" s="91"/>
      <c r="H13" s="241" t="s">
        <v>104</v>
      </c>
      <c r="I13" s="175"/>
      <c r="J13" s="92"/>
      <c r="K13" s="93"/>
      <c r="L13" s="45"/>
      <c r="M13" s="93"/>
      <c r="N13" s="93"/>
      <c r="O13" s="45"/>
      <c r="P13" s="25"/>
      <c r="Q13" s="25"/>
      <c r="R13" s="93"/>
      <c r="S13" s="34"/>
      <c r="T13" s="210"/>
      <c r="U13" s="210"/>
      <c r="V13" s="94"/>
      <c r="W13" s="94"/>
      <c r="X13" s="94"/>
      <c r="Y13" s="94"/>
      <c r="Z13" s="94">
        <f t="shared" si="7"/>
        <v>0</v>
      </c>
    </row>
    <row r="14" spans="1:26" s="84" customFormat="1" ht="39.75" customHeight="1" x14ac:dyDescent="0.25">
      <c r="A14" s="78">
        <f>MAX($A$5:A13)+1</f>
        <v>5</v>
      </c>
      <c r="B14" s="37">
        <v>2</v>
      </c>
      <c r="C14" s="37">
        <v>10.8</v>
      </c>
      <c r="D14" s="86" t="s">
        <v>10</v>
      </c>
      <c r="E14" s="37">
        <v>1</v>
      </c>
      <c r="F14" s="80">
        <f>886.9+86.05</f>
        <v>972.94999999999993</v>
      </c>
      <c r="G14" s="81">
        <v>236</v>
      </c>
      <c r="H14" s="242" t="s">
        <v>105</v>
      </c>
      <c r="I14" s="220"/>
      <c r="J14" s="82">
        <f>F14-G14</f>
        <v>736.94999999999993</v>
      </c>
      <c r="K14" s="78" t="s">
        <v>6</v>
      </c>
      <c r="L14" s="37" t="s">
        <v>9</v>
      </c>
      <c r="M14" s="78">
        <v>113</v>
      </c>
      <c r="N14" s="78">
        <v>800</v>
      </c>
      <c r="O14" s="37">
        <v>239.1</v>
      </c>
      <c r="P14" s="5">
        <v>13.4</v>
      </c>
      <c r="Q14" s="5">
        <f t="shared" si="0"/>
        <v>13.4</v>
      </c>
      <c r="R14" s="78" t="s">
        <v>2</v>
      </c>
      <c r="S14" s="21">
        <f t="shared" si="1"/>
        <v>1.8183051767419772E-2</v>
      </c>
      <c r="T14" s="5">
        <f t="shared" si="2"/>
        <v>2</v>
      </c>
      <c r="U14" s="5">
        <v>1</v>
      </c>
      <c r="V14" s="83">
        <f t="shared" si="3"/>
        <v>1340000</v>
      </c>
      <c r="W14" s="83">
        <f t="shared" si="4"/>
        <v>134000</v>
      </c>
      <c r="X14" s="83">
        <f t="shared" si="5"/>
        <v>4020000</v>
      </c>
      <c r="Y14" s="83">
        <f t="shared" si="6"/>
        <v>1020000</v>
      </c>
      <c r="Z14" s="83">
        <f t="shared" si="7"/>
        <v>6514000</v>
      </c>
    </row>
    <row r="15" spans="1:26" s="84" customFormat="1" ht="22.5" customHeight="1" x14ac:dyDescent="0.25">
      <c r="A15" s="303">
        <f>MAX($A$5:A14)+1</f>
        <v>6</v>
      </c>
      <c r="B15" s="44">
        <v>1</v>
      </c>
      <c r="C15" s="306">
        <v>1.1399999999999999</v>
      </c>
      <c r="D15" s="177" t="s">
        <v>250</v>
      </c>
      <c r="E15" s="306">
        <v>5</v>
      </c>
      <c r="F15" s="309">
        <f>2513.9+(5*58.05)</f>
        <v>2804.15</v>
      </c>
      <c r="G15" s="87">
        <v>0</v>
      </c>
      <c r="H15" s="243" t="s">
        <v>106</v>
      </c>
      <c r="I15" s="221"/>
      <c r="J15" s="88">
        <f>F15-G15</f>
        <v>2804.15</v>
      </c>
      <c r="K15" s="89" t="s">
        <v>6</v>
      </c>
      <c r="L15" s="44" t="s">
        <v>11</v>
      </c>
      <c r="M15" s="89">
        <v>113</v>
      </c>
      <c r="N15" s="89">
        <v>781</v>
      </c>
      <c r="O15" s="44">
        <v>2023</v>
      </c>
      <c r="P15" s="24">
        <v>661.8</v>
      </c>
      <c r="Q15" s="24">
        <f>SUM(P15:P19)</f>
        <v>731.3</v>
      </c>
      <c r="R15" s="89" t="s">
        <v>2</v>
      </c>
      <c r="S15" s="32">
        <f t="shared" si="1"/>
        <v>0.26079204036873915</v>
      </c>
      <c r="T15" s="208">
        <f t="shared" si="2"/>
        <v>5</v>
      </c>
      <c r="U15" s="208">
        <v>5</v>
      </c>
      <c r="V15" s="90">
        <f t="shared" si="3"/>
        <v>73130000</v>
      </c>
      <c r="W15" s="90">
        <f t="shared" si="4"/>
        <v>7313000</v>
      </c>
      <c r="X15" s="90">
        <f t="shared" si="5"/>
        <v>219390000</v>
      </c>
      <c r="Y15" s="90">
        <f t="shared" si="6"/>
        <v>12750000</v>
      </c>
      <c r="Z15" s="90">
        <f t="shared" si="7"/>
        <v>312583000</v>
      </c>
    </row>
    <row r="16" spans="1:26" s="84" customFormat="1" ht="22.5" customHeight="1" x14ac:dyDescent="0.25">
      <c r="A16" s="304"/>
      <c r="B16" s="95"/>
      <c r="C16" s="307"/>
      <c r="D16" s="178" t="s">
        <v>74</v>
      </c>
      <c r="E16" s="307"/>
      <c r="F16" s="310"/>
      <c r="G16" s="96"/>
      <c r="H16" s="244" t="s">
        <v>107</v>
      </c>
      <c r="I16" s="223"/>
      <c r="J16" s="97"/>
      <c r="K16" s="98"/>
      <c r="L16" s="95"/>
      <c r="M16" s="98">
        <v>113</v>
      </c>
      <c r="N16" s="98">
        <v>1178</v>
      </c>
      <c r="O16" s="95">
        <v>120</v>
      </c>
      <c r="P16" s="187">
        <v>69.5</v>
      </c>
      <c r="Q16" s="187"/>
      <c r="R16" s="98" t="s">
        <v>2</v>
      </c>
      <c r="S16" s="191"/>
      <c r="T16" s="209"/>
      <c r="U16" s="209"/>
      <c r="V16" s="100"/>
      <c r="W16" s="100"/>
      <c r="X16" s="100"/>
      <c r="Y16" s="100"/>
      <c r="Z16" s="100">
        <f t="shared" si="7"/>
        <v>0</v>
      </c>
    </row>
    <row r="17" spans="1:26" s="84" customFormat="1" ht="22.5" customHeight="1" x14ac:dyDescent="0.25">
      <c r="A17" s="304"/>
      <c r="B17" s="95"/>
      <c r="C17" s="307"/>
      <c r="D17" s="178" t="s">
        <v>73</v>
      </c>
      <c r="E17" s="307"/>
      <c r="F17" s="310"/>
      <c r="G17" s="96"/>
      <c r="H17" s="244" t="s">
        <v>108</v>
      </c>
      <c r="I17" s="223"/>
      <c r="J17" s="97"/>
      <c r="K17" s="98"/>
      <c r="L17" s="95"/>
      <c r="M17" s="98"/>
      <c r="N17" s="98"/>
      <c r="O17" s="95"/>
      <c r="P17" s="187"/>
      <c r="Q17" s="187"/>
      <c r="R17" s="98"/>
      <c r="S17" s="191"/>
      <c r="T17" s="209"/>
      <c r="U17" s="209"/>
      <c r="V17" s="100"/>
      <c r="W17" s="100"/>
      <c r="X17" s="100"/>
      <c r="Y17" s="100"/>
      <c r="Z17" s="100">
        <f t="shared" si="7"/>
        <v>0</v>
      </c>
    </row>
    <row r="18" spans="1:26" s="84" customFormat="1" ht="22.5" customHeight="1" x14ac:dyDescent="0.25">
      <c r="A18" s="304"/>
      <c r="B18" s="95"/>
      <c r="C18" s="307"/>
      <c r="D18" s="178" t="s">
        <v>72</v>
      </c>
      <c r="E18" s="307"/>
      <c r="F18" s="310"/>
      <c r="G18" s="96"/>
      <c r="H18" s="244" t="s">
        <v>109</v>
      </c>
      <c r="I18" s="223"/>
      <c r="J18" s="97"/>
      <c r="K18" s="98"/>
      <c r="L18" s="95"/>
      <c r="M18" s="98"/>
      <c r="N18" s="98"/>
      <c r="O18" s="95"/>
      <c r="P18" s="187"/>
      <c r="Q18" s="187"/>
      <c r="R18" s="98"/>
      <c r="S18" s="191"/>
      <c r="T18" s="209"/>
      <c r="U18" s="209"/>
      <c r="V18" s="100"/>
      <c r="W18" s="100"/>
      <c r="X18" s="100"/>
      <c r="Y18" s="100"/>
      <c r="Z18" s="100">
        <f t="shared" si="7"/>
        <v>0</v>
      </c>
    </row>
    <row r="19" spans="1:26" s="84" customFormat="1" ht="22.5" customHeight="1" x14ac:dyDescent="0.25">
      <c r="A19" s="305"/>
      <c r="B19" s="45"/>
      <c r="C19" s="308"/>
      <c r="D19" s="179" t="s">
        <v>71</v>
      </c>
      <c r="E19" s="308"/>
      <c r="F19" s="311"/>
      <c r="G19" s="91"/>
      <c r="H19" s="245" t="s">
        <v>110</v>
      </c>
      <c r="I19" s="222"/>
      <c r="J19" s="92"/>
      <c r="K19" s="93"/>
      <c r="L19" s="45" t="s">
        <v>11</v>
      </c>
      <c r="M19" s="93"/>
      <c r="N19" s="93"/>
      <c r="O19" s="45"/>
      <c r="P19" s="25"/>
      <c r="Q19" s="25"/>
      <c r="R19" s="93"/>
      <c r="S19" s="34"/>
      <c r="T19" s="35"/>
      <c r="U19" s="210"/>
      <c r="V19" s="94"/>
      <c r="W19" s="94"/>
      <c r="X19" s="94"/>
      <c r="Y19" s="94"/>
      <c r="Z19" s="94">
        <f t="shared" si="7"/>
        <v>0</v>
      </c>
    </row>
    <row r="20" spans="1:26" s="84" customFormat="1" ht="88.5" customHeight="1" x14ac:dyDescent="0.25">
      <c r="A20" s="78">
        <f>MAX($A$5:A19)+1</f>
        <v>7</v>
      </c>
      <c r="B20" s="37">
        <v>1</v>
      </c>
      <c r="C20" s="37">
        <v>2.23</v>
      </c>
      <c r="D20" s="79" t="s">
        <v>251</v>
      </c>
      <c r="E20" s="37">
        <v>3</v>
      </c>
      <c r="F20" s="80">
        <f>1281.8+(3*58.05)</f>
        <v>1455.9499999999998</v>
      </c>
      <c r="G20" s="81">
        <v>0</v>
      </c>
      <c r="H20" s="246" t="s">
        <v>111</v>
      </c>
      <c r="I20" s="220"/>
      <c r="J20" s="82">
        <f>F20-G20</f>
        <v>1455.9499999999998</v>
      </c>
      <c r="K20" s="78" t="s">
        <v>6</v>
      </c>
      <c r="L20" s="37" t="s">
        <v>11</v>
      </c>
      <c r="M20" s="78">
        <v>113</v>
      </c>
      <c r="N20" s="78">
        <v>782</v>
      </c>
      <c r="O20" s="37">
        <v>1056</v>
      </c>
      <c r="P20" s="5">
        <v>239.3</v>
      </c>
      <c r="Q20" s="5">
        <f>P20</f>
        <v>239.3</v>
      </c>
      <c r="R20" s="78" t="s">
        <v>2</v>
      </c>
      <c r="S20" s="21">
        <f t="shared" si="1"/>
        <v>0.16436003983653288</v>
      </c>
      <c r="T20" s="5">
        <f t="shared" si="2"/>
        <v>3</v>
      </c>
      <c r="U20" s="5">
        <v>3</v>
      </c>
      <c r="V20" s="83">
        <f t="shared" si="3"/>
        <v>23930000</v>
      </c>
      <c r="W20" s="83">
        <f t="shared" si="4"/>
        <v>2393000</v>
      </c>
      <c r="X20" s="83">
        <f t="shared" si="5"/>
        <v>71790000</v>
      </c>
      <c r="Y20" s="83">
        <f t="shared" si="6"/>
        <v>4590000</v>
      </c>
      <c r="Z20" s="83">
        <f t="shared" si="7"/>
        <v>102703000</v>
      </c>
    </row>
    <row r="21" spans="1:26" s="84" customFormat="1" ht="21.75" customHeight="1" x14ac:dyDescent="0.25">
      <c r="A21" s="303">
        <f>MAX($A$5:A20)+1</f>
        <v>8</v>
      </c>
      <c r="B21" s="44"/>
      <c r="C21" s="306">
        <v>4.72</v>
      </c>
      <c r="D21" s="177" t="s">
        <v>252</v>
      </c>
      <c r="E21" s="306">
        <v>6</v>
      </c>
      <c r="F21" s="309">
        <f>3076.4+(6*58.05)</f>
        <v>3424.7</v>
      </c>
      <c r="G21" s="87">
        <v>0</v>
      </c>
      <c r="H21" s="243" t="s">
        <v>112</v>
      </c>
      <c r="I21" s="243" t="s">
        <v>113</v>
      </c>
      <c r="J21" s="88">
        <f>F21-G21</f>
        <v>3424.7</v>
      </c>
      <c r="K21" s="89" t="s">
        <v>6</v>
      </c>
      <c r="L21" s="44" t="s">
        <v>11</v>
      </c>
      <c r="M21" s="89">
        <v>113</v>
      </c>
      <c r="N21" s="89">
        <v>751</v>
      </c>
      <c r="O21" s="44">
        <v>355.9</v>
      </c>
      <c r="P21" s="24">
        <v>268.7</v>
      </c>
      <c r="Q21" s="24">
        <f>SUM(P21:P26)</f>
        <v>624.90000000000009</v>
      </c>
      <c r="R21" s="89" t="s">
        <v>2</v>
      </c>
      <c r="S21" s="32">
        <f t="shared" si="1"/>
        <v>0.18246853739013641</v>
      </c>
      <c r="T21" s="208">
        <f t="shared" si="2"/>
        <v>3</v>
      </c>
      <c r="U21" s="208">
        <v>4</v>
      </c>
      <c r="V21" s="90">
        <f t="shared" si="3"/>
        <v>62490000.000000007</v>
      </c>
      <c r="W21" s="90">
        <f t="shared" si="4"/>
        <v>6249000.0000000009</v>
      </c>
      <c r="X21" s="90">
        <f t="shared" si="5"/>
        <v>187470000.00000003</v>
      </c>
      <c r="Y21" s="90">
        <f t="shared" si="6"/>
        <v>6120000</v>
      </c>
      <c r="Z21" s="90">
        <f t="shared" si="7"/>
        <v>262329000.00000006</v>
      </c>
    </row>
    <row r="22" spans="1:26" s="84" customFormat="1" ht="21.75" customHeight="1" x14ac:dyDescent="0.25">
      <c r="A22" s="304"/>
      <c r="B22" s="95"/>
      <c r="C22" s="307"/>
      <c r="D22" s="178" t="s">
        <v>79</v>
      </c>
      <c r="E22" s="307"/>
      <c r="F22" s="310"/>
      <c r="G22" s="96"/>
      <c r="H22" s="244" t="s">
        <v>114</v>
      </c>
      <c r="I22" s="244" t="s">
        <v>115</v>
      </c>
      <c r="J22" s="97"/>
      <c r="K22" s="98"/>
      <c r="L22" s="95"/>
      <c r="M22" s="98">
        <v>113</v>
      </c>
      <c r="N22" s="98">
        <v>733</v>
      </c>
      <c r="O22" s="95">
        <v>1540.8</v>
      </c>
      <c r="P22" s="187">
        <v>247.5</v>
      </c>
      <c r="Q22" s="187"/>
      <c r="R22" s="98" t="s">
        <v>2</v>
      </c>
      <c r="S22" s="191"/>
      <c r="T22" s="209"/>
      <c r="U22" s="209"/>
      <c r="V22" s="100"/>
      <c r="W22" s="100"/>
      <c r="X22" s="100"/>
      <c r="Y22" s="100"/>
      <c r="Z22" s="100">
        <f t="shared" si="7"/>
        <v>0</v>
      </c>
    </row>
    <row r="23" spans="1:26" s="84" customFormat="1" ht="21.75" customHeight="1" x14ac:dyDescent="0.25">
      <c r="A23" s="304"/>
      <c r="B23" s="95"/>
      <c r="C23" s="307"/>
      <c r="D23" s="178" t="s">
        <v>78</v>
      </c>
      <c r="E23" s="307"/>
      <c r="F23" s="310"/>
      <c r="G23" s="96"/>
      <c r="H23" s="244" t="s">
        <v>116</v>
      </c>
      <c r="I23" s="178"/>
      <c r="J23" s="97"/>
      <c r="K23" s="98"/>
      <c r="L23" s="95"/>
      <c r="M23" s="98">
        <v>113</v>
      </c>
      <c r="N23" s="98">
        <v>752</v>
      </c>
      <c r="O23" s="95">
        <v>392</v>
      </c>
      <c r="P23" s="187">
        <v>108.7</v>
      </c>
      <c r="Q23" s="187"/>
      <c r="R23" s="98" t="s">
        <v>2</v>
      </c>
      <c r="S23" s="191"/>
      <c r="T23" s="209"/>
      <c r="U23" s="209"/>
      <c r="V23" s="100"/>
      <c r="W23" s="100"/>
      <c r="X23" s="100"/>
      <c r="Y23" s="100"/>
      <c r="Z23" s="100">
        <f t="shared" si="7"/>
        <v>0</v>
      </c>
    </row>
    <row r="24" spans="1:26" s="84" customFormat="1" ht="21.75" customHeight="1" x14ac:dyDescent="0.25">
      <c r="A24" s="304"/>
      <c r="B24" s="95"/>
      <c r="C24" s="307"/>
      <c r="D24" s="178" t="s">
        <v>77</v>
      </c>
      <c r="E24" s="307"/>
      <c r="F24" s="310"/>
      <c r="G24" s="96"/>
      <c r="H24" s="244" t="s">
        <v>117</v>
      </c>
      <c r="I24" s="178"/>
      <c r="J24" s="97"/>
      <c r="K24" s="98"/>
      <c r="L24" s="95"/>
      <c r="M24" s="98"/>
      <c r="N24" s="98"/>
      <c r="O24" s="95"/>
      <c r="P24" s="187"/>
      <c r="Q24" s="187"/>
      <c r="R24" s="98"/>
      <c r="S24" s="191"/>
      <c r="T24" s="209"/>
      <c r="U24" s="209"/>
      <c r="V24" s="100"/>
      <c r="W24" s="100"/>
      <c r="X24" s="100"/>
      <c r="Y24" s="100"/>
      <c r="Z24" s="100">
        <f t="shared" si="7"/>
        <v>0</v>
      </c>
    </row>
    <row r="25" spans="1:26" s="84" customFormat="1" ht="21.75" customHeight="1" x14ac:dyDescent="0.25">
      <c r="A25" s="304"/>
      <c r="B25" s="95">
        <v>1</v>
      </c>
      <c r="C25" s="307"/>
      <c r="D25" s="178" t="s">
        <v>76</v>
      </c>
      <c r="E25" s="307"/>
      <c r="F25" s="310"/>
      <c r="G25" s="96"/>
      <c r="H25" s="244" t="s">
        <v>118</v>
      </c>
      <c r="I25" s="244" t="s">
        <v>119</v>
      </c>
      <c r="J25" s="97"/>
      <c r="K25" s="98"/>
      <c r="L25" s="95" t="s">
        <v>11</v>
      </c>
      <c r="M25" s="98"/>
      <c r="N25" s="98"/>
      <c r="O25" s="95"/>
      <c r="P25" s="187"/>
      <c r="Q25" s="187"/>
      <c r="R25" s="98"/>
      <c r="S25" s="191"/>
      <c r="T25" s="192"/>
      <c r="U25" s="209"/>
      <c r="V25" s="100"/>
      <c r="W25" s="100"/>
      <c r="X25" s="100"/>
      <c r="Y25" s="100"/>
      <c r="Z25" s="100">
        <f t="shared" si="7"/>
        <v>0</v>
      </c>
    </row>
    <row r="26" spans="1:26" s="84" customFormat="1" ht="21.75" customHeight="1" x14ac:dyDescent="0.25">
      <c r="A26" s="305"/>
      <c r="B26" s="45"/>
      <c r="C26" s="308"/>
      <c r="D26" s="179" t="s">
        <v>75</v>
      </c>
      <c r="E26" s="308"/>
      <c r="F26" s="311"/>
      <c r="G26" s="91"/>
      <c r="H26" s="245" t="s">
        <v>120</v>
      </c>
      <c r="I26" s="179"/>
      <c r="J26" s="92"/>
      <c r="K26" s="93"/>
      <c r="L26" s="45" t="s">
        <v>11</v>
      </c>
      <c r="M26" s="93"/>
      <c r="N26" s="93"/>
      <c r="O26" s="45"/>
      <c r="P26" s="25"/>
      <c r="Q26" s="25"/>
      <c r="R26" s="93"/>
      <c r="S26" s="34"/>
      <c r="T26" s="35"/>
      <c r="U26" s="210"/>
      <c r="V26" s="94"/>
      <c r="W26" s="94"/>
      <c r="X26" s="94"/>
      <c r="Y26" s="94"/>
      <c r="Z26" s="94">
        <f t="shared" si="7"/>
        <v>0</v>
      </c>
    </row>
    <row r="27" spans="1:26" s="84" customFormat="1" ht="21.75" customHeight="1" x14ac:dyDescent="0.25">
      <c r="A27" s="303">
        <f>MAX($A$5:A26)+1</f>
        <v>9</v>
      </c>
      <c r="B27" s="37">
        <v>1</v>
      </c>
      <c r="C27" s="37">
        <v>2.29</v>
      </c>
      <c r="D27" s="171" t="s">
        <v>253</v>
      </c>
      <c r="E27" s="44">
        <v>2</v>
      </c>
      <c r="F27" s="172">
        <f>1113.2+(2*58.05)</f>
        <v>1229.3</v>
      </c>
      <c r="G27" s="87">
        <v>0</v>
      </c>
      <c r="H27" s="239" t="s">
        <v>121</v>
      </c>
      <c r="I27" s="171"/>
      <c r="J27" s="88">
        <f>F27-G27</f>
        <v>1229.3</v>
      </c>
      <c r="K27" s="89" t="s">
        <v>6</v>
      </c>
      <c r="L27" s="44" t="s">
        <v>11</v>
      </c>
      <c r="M27" s="89">
        <v>113</v>
      </c>
      <c r="N27" s="89">
        <v>732</v>
      </c>
      <c r="O27" s="44">
        <v>888</v>
      </c>
      <c r="P27" s="24">
        <v>0.4</v>
      </c>
      <c r="Q27" s="24">
        <f>P27</f>
        <v>0.4</v>
      </c>
      <c r="R27" s="89" t="s">
        <v>2</v>
      </c>
      <c r="S27" s="32">
        <f t="shared" si="1"/>
        <v>3.2538843244122673E-4</v>
      </c>
      <c r="T27" s="208">
        <f t="shared" si="2"/>
        <v>2</v>
      </c>
      <c r="U27" s="208">
        <v>6</v>
      </c>
      <c r="V27" s="90">
        <f t="shared" si="3"/>
        <v>40000</v>
      </c>
      <c r="W27" s="90">
        <f t="shared" si="4"/>
        <v>4000</v>
      </c>
      <c r="X27" s="90">
        <f t="shared" si="5"/>
        <v>120000</v>
      </c>
      <c r="Y27" s="90">
        <f t="shared" si="6"/>
        <v>6120000</v>
      </c>
      <c r="Z27" s="90">
        <f t="shared" si="7"/>
        <v>6284000</v>
      </c>
    </row>
    <row r="28" spans="1:26" s="84" customFormat="1" ht="21.75" customHeight="1" x14ac:dyDescent="0.25">
      <c r="A28" s="305"/>
      <c r="B28" s="37"/>
      <c r="C28" s="37"/>
      <c r="D28" s="175" t="s">
        <v>80</v>
      </c>
      <c r="E28" s="45"/>
      <c r="F28" s="176"/>
      <c r="G28" s="91"/>
      <c r="H28" s="241" t="s">
        <v>122</v>
      </c>
      <c r="I28" s="241" t="s">
        <v>123</v>
      </c>
      <c r="J28" s="92"/>
      <c r="K28" s="93"/>
      <c r="L28" s="45"/>
      <c r="M28" s="93"/>
      <c r="N28" s="93"/>
      <c r="O28" s="45"/>
      <c r="P28" s="25"/>
      <c r="Q28" s="25"/>
      <c r="R28" s="93"/>
      <c r="S28" s="34"/>
      <c r="T28" s="210"/>
      <c r="U28" s="210"/>
      <c r="V28" s="94"/>
      <c r="W28" s="94"/>
      <c r="X28" s="94"/>
      <c r="Y28" s="94"/>
      <c r="Z28" s="94">
        <f t="shared" si="7"/>
        <v>0</v>
      </c>
    </row>
    <row r="29" spans="1:26" s="84" customFormat="1" ht="26.25" customHeight="1" x14ac:dyDescent="0.25">
      <c r="A29" s="292">
        <f>MAX($A$5:A28)+1</f>
        <v>10</v>
      </c>
      <c r="B29" s="37">
        <v>2</v>
      </c>
      <c r="C29" s="37">
        <v>11.17</v>
      </c>
      <c r="D29" s="171" t="s">
        <v>254</v>
      </c>
      <c r="E29" s="44">
        <v>6</v>
      </c>
      <c r="F29" s="172">
        <f>2500.7+(6*86.05)</f>
        <v>3017</v>
      </c>
      <c r="G29" s="87">
        <v>0</v>
      </c>
      <c r="H29" s="239" t="s">
        <v>124</v>
      </c>
      <c r="I29" s="171"/>
      <c r="J29" s="88">
        <f>F29-G29</f>
        <v>3017</v>
      </c>
      <c r="K29" s="89" t="s">
        <v>6</v>
      </c>
      <c r="L29" s="44" t="s">
        <v>8</v>
      </c>
      <c r="M29" s="89">
        <v>113</v>
      </c>
      <c r="N29" s="89">
        <v>824</v>
      </c>
      <c r="O29" s="44">
        <v>1249.7</v>
      </c>
      <c r="P29" s="24">
        <v>668.1</v>
      </c>
      <c r="Q29" s="24">
        <f>P29</f>
        <v>668.1</v>
      </c>
      <c r="R29" s="89" t="s">
        <v>2</v>
      </c>
      <c r="S29" s="32">
        <f t="shared" si="1"/>
        <v>0.22144514418296321</v>
      </c>
      <c r="T29" s="208">
        <f t="shared" si="2"/>
        <v>5</v>
      </c>
      <c r="U29" s="208">
        <v>5</v>
      </c>
      <c r="V29" s="90">
        <f t="shared" si="3"/>
        <v>66810000</v>
      </c>
      <c r="W29" s="90">
        <f t="shared" si="4"/>
        <v>6681000</v>
      </c>
      <c r="X29" s="90">
        <f t="shared" si="5"/>
        <v>200430000</v>
      </c>
      <c r="Y29" s="90">
        <f t="shared" si="6"/>
        <v>12750000</v>
      </c>
      <c r="Z29" s="90">
        <f t="shared" si="7"/>
        <v>286671000</v>
      </c>
    </row>
    <row r="30" spans="1:26" s="84" customFormat="1" ht="32.25" customHeight="1" x14ac:dyDescent="0.25">
      <c r="A30" s="293"/>
      <c r="B30" s="180"/>
      <c r="C30" s="180"/>
      <c r="D30" s="181" t="s">
        <v>92</v>
      </c>
      <c r="E30" s="95"/>
      <c r="F30" s="174"/>
      <c r="G30" s="96"/>
      <c r="H30" s="181"/>
      <c r="I30" s="181"/>
      <c r="J30" s="97"/>
      <c r="K30" s="98"/>
      <c r="L30" s="95"/>
      <c r="M30" s="98"/>
      <c r="N30" s="98"/>
      <c r="O30" s="95"/>
      <c r="P30" s="187"/>
      <c r="Q30" s="187"/>
      <c r="R30" s="98"/>
      <c r="S30" s="191"/>
      <c r="T30" s="209"/>
      <c r="U30" s="209"/>
      <c r="V30" s="100"/>
      <c r="W30" s="100"/>
      <c r="X30" s="100"/>
      <c r="Y30" s="100"/>
      <c r="Z30" s="100">
        <f t="shared" si="7"/>
        <v>0</v>
      </c>
    </row>
    <row r="31" spans="1:26" s="84" customFormat="1" ht="24" customHeight="1" x14ac:dyDescent="0.25">
      <c r="A31" s="293"/>
      <c r="B31" s="180"/>
      <c r="C31" s="180"/>
      <c r="D31" s="181" t="s">
        <v>84</v>
      </c>
      <c r="E31" s="95"/>
      <c r="F31" s="174"/>
      <c r="G31" s="96"/>
      <c r="H31" s="247" t="s">
        <v>125</v>
      </c>
      <c r="I31" s="181"/>
      <c r="J31" s="97"/>
      <c r="K31" s="98"/>
      <c r="L31" s="95"/>
      <c r="M31" s="98"/>
      <c r="N31" s="98"/>
      <c r="O31" s="95"/>
      <c r="P31" s="187"/>
      <c r="Q31" s="187"/>
      <c r="R31" s="98"/>
      <c r="S31" s="191"/>
      <c r="T31" s="209"/>
      <c r="U31" s="209"/>
      <c r="V31" s="100"/>
      <c r="W31" s="100"/>
      <c r="X31" s="100"/>
      <c r="Y31" s="100"/>
      <c r="Z31" s="100">
        <f t="shared" si="7"/>
        <v>0</v>
      </c>
    </row>
    <row r="32" spans="1:26" s="84" customFormat="1" ht="27" customHeight="1" x14ac:dyDescent="0.25">
      <c r="A32" s="293"/>
      <c r="B32" s="180"/>
      <c r="C32" s="180"/>
      <c r="D32" s="181" t="s">
        <v>83</v>
      </c>
      <c r="E32" s="95"/>
      <c r="F32" s="174"/>
      <c r="G32" s="96"/>
      <c r="H32" s="181"/>
      <c r="I32" s="181"/>
      <c r="J32" s="97"/>
      <c r="K32" s="98"/>
      <c r="L32" s="95"/>
      <c r="M32" s="98"/>
      <c r="N32" s="98"/>
      <c r="O32" s="95"/>
      <c r="P32" s="187"/>
      <c r="Q32" s="187"/>
      <c r="R32" s="98"/>
      <c r="S32" s="191"/>
      <c r="T32" s="209"/>
      <c r="U32" s="209"/>
      <c r="V32" s="100"/>
      <c r="W32" s="100"/>
      <c r="X32" s="100"/>
      <c r="Y32" s="100"/>
      <c r="Z32" s="100">
        <f t="shared" si="7"/>
        <v>0</v>
      </c>
    </row>
    <row r="33" spans="1:26" s="84" customFormat="1" ht="27" customHeight="1" x14ac:dyDescent="0.25">
      <c r="A33" s="293"/>
      <c r="B33" s="180"/>
      <c r="C33" s="180"/>
      <c r="D33" s="181" t="s">
        <v>81</v>
      </c>
      <c r="E33" s="95"/>
      <c r="F33" s="174"/>
      <c r="G33" s="96"/>
      <c r="H33" s="181"/>
      <c r="I33" s="247" t="s">
        <v>126</v>
      </c>
      <c r="J33" s="97"/>
      <c r="K33" s="98"/>
      <c r="L33" s="95"/>
      <c r="M33" s="98"/>
      <c r="N33" s="98"/>
      <c r="O33" s="95"/>
      <c r="P33" s="187"/>
      <c r="Q33" s="187"/>
      <c r="R33" s="98"/>
      <c r="S33" s="191"/>
      <c r="T33" s="209"/>
      <c r="U33" s="209"/>
      <c r="V33" s="100"/>
      <c r="W33" s="100"/>
      <c r="X33" s="100"/>
      <c r="Y33" s="100"/>
      <c r="Z33" s="100">
        <f t="shared" si="7"/>
        <v>0</v>
      </c>
    </row>
    <row r="34" spans="1:26" s="84" customFormat="1" ht="27" customHeight="1" x14ac:dyDescent="0.25">
      <c r="A34" s="294"/>
      <c r="B34" s="180"/>
      <c r="C34" s="180"/>
      <c r="D34" s="182" t="s">
        <v>82</v>
      </c>
      <c r="E34" s="45"/>
      <c r="F34" s="176"/>
      <c r="G34" s="91"/>
      <c r="H34" s="248" t="s">
        <v>127</v>
      </c>
      <c r="I34" s="182"/>
      <c r="J34" s="92"/>
      <c r="K34" s="93"/>
      <c r="L34" s="45"/>
      <c r="M34" s="93"/>
      <c r="N34" s="93"/>
      <c r="O34" s="45"/>
      <c r="P34" s="25"/>
      <c r="Q34" s="25"/>
      <c r="R34" s="93"/>
      <c r="S34" s="34"/>
      <c r="T34" s="210"/>
      <c r="U34" s="210"/>
      <c r="V34" s="94"/>
      <c r="W34" s="94"/>
      <c r="X34" s="94"/>
      <c r="Y34" s="94"/>
      <c r="Z34" s="94">
        <f t="shared" si="7"/>
        <v>0</v>
      </c>
    </row>
    <row r="35" spans="1:26" s="84" customFormat="1" ht="23.25" customHeight="1" x14ac:dyDescent="0.25">
      <c r="A35" s="295" t="s">
        <v>3</v>
      </c>
      <c r="B35" s="296"/>
      <c r="C35" s="296"/>
      <c r="D35" s="297"/>
      <c r="E35" s="37"/>
      <c r="F35" s="80"/>
      <c r="G35" s="81"/>
      <c r="H35" s="220"/>
      <c r="I35" s="220"/>
      <c r="J35" s="82"/>
      <c r="K35" s="78"/>
      <c r="L35" s="37"/>
      <c r="M35" s="78"/>
      <c r="N35" s="78"/>
      <c r="O35" s="37"/>
      <c r="P35" s="8">
        <f>SUM(P6:P29)</f>
        <v>2846.2</v>
      </c>
      <c r="Q35" s="8">
        <f>SUM(Q6:Q29)</f>
        <v>2846.2</v>
      </c>
      <c r="R35" s="8"/>
      <c r="S35" s="8"/>
      <c r="T35" s="8"/>
      <c r="U35" s="8"/>
      <c r="V35" s="65">
        <f t="shared" ref="V35:Z35" si="8">SUM(V6:V29)</f>
        <v>284620000</v>
      </c>
      <c r="W35" s="65">
        <f t="shared" si="8"/>
        <v>28462000</v>
      </c>
      <c r="X35" s="65">
        <f t="shared" si="8"/>
        <v>853860000</v>
      </c>
      <c r="Y35" s="65">
        <f t="shared" si="8"/>
        <v>84150000</v>
      </c>
      <c r="Z35" s="65">
        <f t="shared" si="8"/>
        <v>1251092000</v>
      </c>
    </row>
    <row r="36" spans="1:26" ht="20.100000000000001" customHeight="1" x14ac:dyDescent="0.25">
      <c r="A36" s="105"/>
      <c r="B36" s="106"/>
      <c r="C36" s="106"/>
      <c r="D36" s="63"/>
      <c r="E36" s="116"/>
      <c r="F36" s="109"/>
      <c r="G36" s="110"/>
      <c r="H36" s="225"/>
      <c r="I36" s="225"/>
      <c r="J36" s="111"/>
      <c r="K36" s="112"/>
      <c r="L36" s="108"/>
      <c r="M36" s="112"/>
      <c r="N36" s="112"/>
      <c r="O36" s="108"/>
      <c r="P36" s="113"/>
      <c r="Q36" s="113"/>
      <c r="R36" s="114"/>
      <c r="S36" s="232"/>
      <c r="T36" s="155"/>
      <c r="U36" s="155"/>
      <c r="V36" s="114"/>
      <c r="W36" s="114"/>
      <c r="X36" s="114"/>
    </row>
    <row r="37" spans="1:26" ht="20.25" customHeight="1" x14ac:dyDescent="0.25">
      <c r="A37" s="105"/>
      <c r="B37" s="106"/>
      <c r="C37" s="106"/>
      <c r="D37" s="115"/>
      <c r="E37" s="116"/>
      <c r="F37" s="109"/>
      <c r="G37" s="110"/>
      <c r="H37" s="225"/>
      <c r="I37" s="225"/>
      <c r="J37" s="111"/>
      <c r="K37" s="112"/>
      <c r="L37" s="108"/>
      <c r="M37" s="112"/>
      <c r="N37" s="112"/>
      <c r="O37" s="108"/>
      <c r="P37" s="113"/>
      <c r="Q37" s="113"/>
      <c r="R37" s="114"/>
      <c r="S37" s="232"/>
      <c r="T37" s="155"/>
      <c r="U37" s="155"/>
      <c r="V37" s="114"/>
      <c r="W37" s="114"/>
      <c r="X37" s="114"/>
    </row>
    <row r="38" spans="1:26" ht="20.25" customHeight="1" x14ac:dyDescent="0.25">
      <c r="A38" s="105"/>
      <c r="B38" s="106"/>
      <c r="C38" s="106"/>
      <c r="D38" s="115"/>
      <c r="E38" s="116"/>
      <c r="F38" s="109"/>
      <c r="G38" s="110"/>
      <c r="H38" s="225"/>
      <c r="I38" s="225"/>
      <c r="J38" s="111"/>
      <c r="K38" s="112"/>
      <c r="L38" s="108"/>
      <c r="M38" s="112"/>
      <c r="N38" s="112"/>
      <c r="O38" s="108"/>
      <c r="P38" s="113"/>
      <c r="Q38" s="113"/>
      <c r="R38" s="114"/>
      <c r="S38" s="232"/>
      <c r="T38" s="155"/>
      <c r="U38" s="155"/>
      <c r="V38" s="114"/>
      <c r="W38" s="114"/>
      <c r="X38" s="114"/>
      <c r="Y38" s="104"/>
      <c r="Z38" s="211"/>
    </row>
    <row r="39" spans="1:26" ht="20.25" customHeight="1" x14ac:dyDescent="0.25">
      <c r="A39" s="105"/>
      <c r="B39" s="118"/>
      <c r="C39" s="298" t="s">
        <v>37</v>
      </c>
      <c r="D39" s="300"/>
      <c r="E39" s="301"/>
      <c r="F39" s="301"/>
      <c r="G39" s="301"/>
      <c r="H39" s="301"/>
      <c r="I39" s="301"/>
      <c r="J39" s="301"/>
      <c r="K39" s="301"/>
      <c r="L39" s="302"/>
      <c r="M39" s="112"/>
      <c r="N39" s="112"/>
      <c r="O39" s="108"/>
      <c r="P39" s="113"/>
      <c r="Q39" s="113"/>
      <c r="R39" s="114"/>
      <c r="S39" s="232"/>
      <c r="T39" s="155"/>
      <c r="U39" s="155"/>
      <c r="V39" s="114"/>
      <c r="W39" s="114"/>
      <c r="X39" s="114"/>
      <c r="Y39" s="114"/>
      <c r="Z39" s="117"/>
    </row>
    <row r="40" spans="1:26" ht="20.25" customHeight="1" x14ac:dyDescent="0.25">
      <c r="A40" s="105"/>
      <c r="B40" s="119"/>
      <c r="C40" s="299"/>
      <c r="D40" s="300"/>
      <c r="E40" s="301"/>
      <c r="F40" s="301"/>
      <c r="G40" s="301"/>
      <c r="H40" s="301"/>
      <c r="I40" s="301"/>
      <c r="J40" s="301"/>
      <c r="K40" s="301"/>
      <c r="L40" s="302"/>
      <c r="M40" s="112"/>
      <c r="N40" s="112"/>
      <c r="O40" s="108"/>
      <c r="P40" s="113"/>
      <c r="Q40" s="113"/>
      <c r="R40" s="114"/>
      <c r="S40" s="232"/>
      <c r="T40" s="155"/>
      <c r="U40" s="155"/>
      <c r="V40" s="114"/>
      <c r="W40" s="114"/>
      <c r="X40" s="114"/>
      <c r="Y40" s="290"/>
      <c r="Z40" s="215"/>
    </row>
    <row r="41" spans="1:26" ht="20.25" customHeight="1" x14ac:dyDescent="0.25">
      <c r="A41" s="105"/>
      <c r="B41" s="106"/>
      <c r="C41" s="106"/>
      <c r="D41" s="107"/>
      <c r="E41" s="108"/>
      <c r="F41" s="109"/>
      <c r="G41" s="110"/>
      <c r="H41" s="225"/>
      <c r="I41" s="225"/>
      <c r="J41" s="111"/>
      <c r="K41" s="112"/>
      <c r="L41" s="108"/>
      <c r="M41" s="112"/>
      <c r="N41" s="112"/>
      <c r="O41" s="108"/>
      <c r="P41" s="113"/>
      <c r="Q41" s="113"/>
      <c r="R41" s="114"/>
      <c r="S41" s="232"/>
      <c r="T41" s="155"/>
      <c r="U41" s="155"/>
      <c r="V41" s="114"/>
      <c r="W41" s="114"/>
      <c r="X41" s="114"/>
      <c r="Y41" s="114"/>
      <c r="Z41" s="117"/>
    </row>
    <row r="42" spans="1:26" ht="20.25" customHeight="1" x14ac:dyDescent="0.25">
      <c r="A42" s="105"/>
      <c r="B42" s="106"/>
      <c r="C42" s="106"/>
      <c r="D42" s="107"/>
      <c r="E42" s="108"/>
      <c r="F42" s="109"/>
      <c r="G42" s="110"/>
      <c r="H42" s="225"/>
      <c r="I42" s="225"/>
      <c r="J42" s="111"/>
      <c r="K42" s="112"/>
      <c r="L42" s="108"/>
      <c r="M42" s="112"/>
      <c r="N42" s="112"/>
      <c r="O42" s="108"/>
      <c r="P42" s="113"/>
      <c r="Q42" s="113"/>
      <c r="R42" s="114"/>
      <c r="S42" s="232"/>
      <c r="T42" s="155"/>
      <c r="U42" s="155"/>
      <c r="V42" s="114"/>
      <c r="W42" s="114"/>
      <c r="X42" s="114"/>
      <c r="Y42" s="212"/>
      <c r="Z42" s="213"/>
    </row>
    <row r="43" spans="1:26" ht="20.25" customHeight="1" x14ac:dyDescent="0.25">
      <c r="A43" s="105"/>
      <c r="B43" s="106"/>
      <c r="C43" s="106"/>
      <c r="D43" s="107"/>
      <c r="E43" s="108"/>
      <c r="F43" s="109"/>
      <c r="G43" s="110"/>
      <c r="H43" s="225"/>
      <c r="I43" s="225"/>
      <c r="J43" s="111"/>
      <c r="K43" s="112"/>
      <c r="L43" s="108"/>
      <c r="M43" s="112"/>
      <c r="N43" s="112"/>
      <c r="O43" s="108"/>
      <c r="P43" s="113"/>
      <c r="Q43" s="113"/>
      <c r="R43" s="114"/>
      <c r="S43" s="232"/>
      <c r="T43" s="155"/>
      <c r="U43" s="155"/>
      <c r="V43" s="114"/>
      <c r="W43" s="114"/>
      <c r="X43" s="114"/>
      <c r="Y43" s="200"/>
      <c r="Z43" s="117"/>
    </row>
    <row r="44" spans="1:26" ht="20.25" customHeight="1" x14ac:dyDescent="0.25">
      <c r="A44" s="105"/>
      <c r="B44" s="106"/>
      <c r="C44" s="106"/>
      <c r="D44" s="107"/>
      <c r="E44" s="108"/>
      <c r="F44" s="109"/>
      <c r="G44" s="110"/>
      <c r="H44" s="225"/>
      <c r="I44" s="225"/>
      <c r="J44" s="111"/>
      <c r="K44" s="112"/>
      <c r="L44" s="108"/>
      <c r="M44" s="112"/>
      <c r="N44" s="112"/>
      <c r="O44" s="108"/>
      <c r="P44" s="113"/>
      <c r="Q44" s="113"/>
      <c r="R44" s="114"/>
      <c r="S44" s="232"/>
      <c r="T44" s="155"/>
      <c r="U44" s="155"/>
      <c r="V44" s="114"/>
      <c r="W44" s="114"/>
      <c r="X44" s="114"/>
      <c r="Y44" s="114"/>
      <c r="Z44" s="214"/>
    </row>
    <row r="45" spans="1:26" ht="20.25" customHeight="1" x14ac:dyDescent="0.25">
      <c r="A45" s="105"/>
      <c r="B45" s="106"/>
      <c r="C45" s="106"/>
      <c r="D45" s="107"/>
      <c r="E45" s="108"/>
      <c r="F45" s="109"/>
      <c r="G45" s="110"/>
      <c r="H45" s="225"/>
      <c r="I45" s="225"/>
      <c r="J45" s="111"/>
      <c r="K45" s="112"/>
      <c r="L45" s="108"/>
      <c r="M45" s="112"/>
      <c r="N45" s="112"/>
      <c r="O45" s="108"/>
      <c r="P45" s="113"/>
      <c r="Q45" s="113"/>
      <c r="R45" s="114"/>
      <c r="S45" s="232"/>
      <c r="T45" s="155"/>
      <c r="U45" s="155"/>
      <c r="V45" s="114"/>
      <c r="W45" s="114"/>
      <c r="X45" s="114"/>
      <c r="Y45" s="155"/>
      <c r="Z45" s="216"/>
    </row>
    <row r="46" spans="1:26" ht="20.100000000000001" customHeight="1" x14ac:dyDescent="0.25">
      <c r="A46" s="105"/>
      <c r="B46" s="106"/>
      <c r="C46" s="106"/>
      <c r="D46" s="107"/>
      <c r="E46" s="108"/>
      <c r="F46" s="109"/>
      <c r="G46" s="110"/>
      <c r="H46" s="225"/>
      <c r="I46" s="225"/>
      <c r="J46" s="111"/>
      <c r="K46" s="112"/>
      <c r="L46" s="108"/>
      <c r="M46" s="112"/>
      <c r="N46" s="112"/>
      <c r="O46" s="108"/>
      <c r="P46" s="113"/>
      <c r="Q46" s="113"/>
      <c r="R46" s="114"/>
      <c r="S46" s="232"/>
      <c r="T46" s="155"/>
      <c r="U46" s="155"/>
      <c r="V46" s="114"/>
      <c r="W46" s="114"/>
      <c r="X46" s="114"/>
      <c r="Y46" s="114"/>
      <c r="Z46" s="114"/>
    </row>
    <row r="47" spans="1:26" ht="20.100000000000001" customHeight="1" x14ac:dyDescent="0.25">
      <c r="A47" s="105"/>
      <c r="B47" s="106"/>
      <c r="C47" s="106"/>
      <c r="D47" s="107"/>
      <c r="E47" s="108"/>
      <c r="F47" s="109"/>
      <c r="G47" s="110"/>
      <c r="H47" s="225"/>
      <c r="I47" s="225"/>
      <c r="J47" s="111"/>
      <c r="K47" s="112"/>
      <c r="L47" s="108"/>
      <c r="M47" s="112"/>
      <c r="N47" s="112"/>
      <c r="O47" s="108"/>
      <c r="P47" s="113"/>
      <c r="Q47" s="113"/>
      <c r="R47" s="114"/>
      <c r="S47" s="232"/>
      <c r="T47" s="155"/>
      <c r="U47" s="155"/>
      <c r="V47" s="114"/>
      <c r="W47" s="114"/>
      <c r="X47" s="114"/>
      <c r="Y47" s="114"/>
      <c r="Z47" s="114"/>
    </row>
    <row r="48" spans="1:26" ht="20.100000000000001" customHeight="1" x14ac:dyDescent="0.25">
      <c r="A48" s="105"/>
      <c r="B48" s="106"/>
      <c r="C48" s="106"/>
      <c r="D48" s="107"/>
      <c r="E48" s="108"/>
      <c r="F48" s="109"/>
      <c r="G48" s="110"/>
      <c r="H48" s="225"/>
      <c r="I48" s="225"/>
      <c r="J48" s="111"/>
      <c r="K48" s="112"/>
      <c r="L48" s="108"/>
      <c r="M48" s="112"/>
      <c r="N48" s="112"/>
      <c r="O48" s="108"/>
      <c r="P48" s="120"/>
      <c r="Q48" s="120"/>
      <c r="R48" s="114"/>
      <c r="S48" s="232"/>
      <c r="T48" s="155"/>
      <c r="U48" s="155"/>
      <c r="V48" s="114"/>
      <c r="W48" s="114"/>
      <c r="X48" s="114"/>
      <c r="Y48" s="114"/>
      <c r="Z48" s="114"/>
    </row>
    <row r="49" spans="1:26" ht="20.100000000000001" customHeight="1" x14ac:dyDescent="0.25">
      <c r="A49" s="105"/>
      <c r="B49" s="106"/>
      <c r="C49" s="106"/>
      <c r="D49" s="107"/>
      <c r="E49" s="108"/>
      <c r="F49" s="109"/>
      <c r="G49" s="110"/>
      <c r="H49" s="225"/>
      <c r="I49" s="225"/>
      <c r="J49" s="111"/>
      <c r="K49" s="112"/>
      <c r="L49" s="108"/>
      <c r="M49" s="112"/>
      <c r="N49" s="112"/>
      <c r="O49" s="108"/>
      <c r="P49" s="113"/>
      <c r="Q49" s="113"/>
      <c r="R49" s="114"/>
      <c r="S49" s="232"/>
      <c r="T49" s="155"/>
      <c r="U49" s="155"/>
      <c r="V49" s="114"/>
      <c r="W49" s="114"/>
      <c r="X49" s="114"/>
      <c r="Y49" s="114"/>
      <c r="Z49" s="114"/>
    </row>
    <row r="50" spans="1:26" ht="20.100000000000001" customHeight="1" x14ac:dyDescent="0.25">
      <c r="A50" s="105"/>
      <c r="B50" s="106"/>
      <c r="C50" s="106"/>
      <c r="D50" s="107"/>
      <c r="E50" s="108"/>
      <c r="F50" s="109"/>
      <c r="G50" s="110"/>
      <c r="H50" s="225"/>
      <c r="I50" s="225"/>
      <c r="J50" s="111"/>
      <c r="K50" s="112"/>
      <c r="L50" s="108"/>
      <c r="M50" s="112"/>
      <c r="N50" s="112"/>
      <c r="O50" s="108"/>
      <c r="P50" s="113"/>
      <c r="Q50" s="113"/>
      <c r="R50" s="114"/>
      <c r="S50" s="232"/>
      <c r="T50" s="155"/>
      <c r="U50" s="155"/>
      <c r="V50" s="114"/>
      <c r="W50" s="114"/>
      <c r="X50" s="114"/>
      <c r="Y50" s="114"/>
      <c r="Z50" s="114"/>
    </row>
    <row r="51" spans="1:26" ht="20.100000000000001" customHeight="1" x14ac:dyDescent="0.25">
      <c r="A51" s="105"/>
      <c r="B51" s="106"/>
      <c r="C51" s="106"/>
      <c r="D51" s="107"/>
      <c r="E51" s="108"/>
      <c r="F51" s="109"/>
      <c r="G51" s="110"/>
      <c r="H51" s="225"/>
      <c r="I51" s="225"/>
      <c r="J51" s="111"/>
      <c r="K51" s="112"/>
      <c r="L51" s="108"/>
      <c r="M51" s="112"/>
      <c r="N51" s="112"/>
      <c r="O51" s="108"/>
      <c r="P51" s="113"/>
      <c r="Q51" s="113"/>
      <c r="R51" s="114"/>
      <c r="S51" s="232"/>
      <c r="T51" s="155"/>
      <c r="U51" s="155"/>
      <c r="V51" s="114"/>
      <c r="W51" s="114"/>
      <c r="X51" s="114"/>
      <c r="Y51" s="114"/>
      <c r="Z51" s="114"/>
    </row>
    <row r="52" spans="1:26" ht="20.100000000000001" customHeight="1" x14ac:dyDescent="0.25">
      <c r="A52" s="105"/>
      <c r="B52" s="106"/>
      <c r="C52" s="106"/>
      <c r="D52" s="107"/>
      <c r="E52" s="108"/>
      <c r="F52" s="109"/>
      <c r="G52" s="110"/>
      <c r="H52" s="225"/>
      <c r="I52" s="225"/>
      <c r="J52" s="111"/>
      <c r="K52" s="112"/>
      <c r="L52" s="108"/>
      <c r="M52" s="112"/>
      <c r="N52" s="112"/>
      <c r="O52" s="108"/>
      <c r="P52" s="113"/>
      <c r="Q52" s="113"/>
      <c r="R52" s="114"/>
      <c r="S52" s="232"/>
      <c r="T52" s="155"/>
      <c r="U52" s="155"/>
      <c r="V52" s="114"/>
      <c r="W52" s="114"/>
      <c r="X52" s="114"/>
      <c r="Y52" s="114"/>
      <c r="Z52" s="114"/>
    </row>
    <row r="53" spans="1:26" ht="20.100000000000001" customHeight="1" x14ac:dyDescent="0.25">
      <c r="A53" s="105"/>
      <c r="B53" s="106"/>
      <c r="C53" s="106"/>
      <c r="D53" s="107"/>
      <c r="E53" s="108"/>
      <c r="F53" s="109"/>
      <c r="G53" s="110"/>
      <c r="H53" s="225"/>
      <c r="I53" s="225"/>
      <c r="J53" s="111"/>
      <c r="K53" s="112"/>
      <c r="L53" s="108"/>
      <c r="M53" s="112"/>
      <c r="N53" s="112"/>
      <c r="O53" s="108"/>
      <c r="P53" s="113"/>
      <c r="Q53" s="113"/>
      <c r="R53" s="114"/>
      <c r="S53" s="232"/>
      <c r="T53" s="155"/>
      <c r="U53" s="155"/>
      <c r="V53" s="114"/>
      <c r="W53" s="114"/>
      <c r="X53" s="114"/>
      <c r="Y53" s="114"/>
      <c r="Z53" s="114"/>
    </row>
    <row r="54" spans="1:26" ht="20.100000000000001" customHeight="1" x14ac:dyDescent="0.25">
      <c r="A54" s="105"/>
      <c r="B54" s="106"/>
      <c r="C54" s="106"/>
      <c r="D54" s="107"/>
      <c r="E54" s="108"/>
      <c r="F54" s="109"/>
      <c r="G54" s="110"/>
      <c r="H54" s="225"/>
      <c r="I54" s="225"/>
      <c r="J54" s="111"/>
      <c r="K54" s="112"/>
      <c r="L54" s="108"/>
      <c r="M54" s="112"/>
      <c r="N54" s="112"/>
      <c r="O54" s="108"/>
      <c r="P54" s="113"/>
      <c r="Q54" s="113"/>
      <c r="R54" s="114"/>
      <c r="S54" s="232"/>
      <c r="T54" s="155"/>
      <c r="U54" s="155"/>
      <c r="V54" s="114"/>
      <c r="W54" s="114"/>
      <c r="X54" s="114"/>
      <c r="Y54" s="114"/>
      <c r="Z54" s="114"/>
    </row>
    <row r="55" spans="1:26" ht="20.100000000000001" customHeight="1" x14ac:dyDescent="0.25">
      <c r="A55" s="105"/>
      <c r="B55" s="106"/>
      <c r="C55" s="106"/>
      <c r="D55" s="107"/>
      <c r="E55" s="108"/>
      <c r="F55" s="109"/>
      <c r="G55" s="110"/>
      <c r="H55" s="225"/>
      <c r="I55" s="225"/>
      <c r="J55" s="111"/>
      <c r="K55" s="112"/>
      <c r="L55" s="108"/>
      <c r="M55" s="112"/>
      <c r="N55" s="112"/>
      <c r="O55" s="108"/>
      <c r="P55" s="113"/>
      <c r="Q55" s="113"/>
      <c r="R55" s="114"/>
      <c r="S55" s="232"/>
      <c r="T55" s="155"/>
      <c r="U55" s="155"/>
      <c r="V55" s="114"/>
      <c r="W55" s="114"/>
      <c r="X55" s="114"/>
      <c r="Y55" s="114"/>
      <c r="Z55" s="114"/>
    </row>
    <row r="56" spans="1:26" ht="20.100000000000001" customHeight="1" x14ac:dyDescent="0.25">
      <c r="A56" s="105"/>
      <c r="B56" s="106"/>
      <c r="C56" s="106"/>
      <c r="D56" s="107"/>
      <c r="E56" s="108"/>
      <c r="F56" s="109"/>
      <c r="G56" s="110"/>
      <c r="H56" s="225"/>
      <c r="I56" s="225"/>
      <c r="J56" s="111"/>
      <c r="K56" s="112"/>
      <c r="L56" s="108"/>
      <c r="M56" s="112"/>
      <c r="N56" s="112"/>
      <c r="O56" s="108"/>
      <c r="P56" s="113"/>
      <c r="Q56" s="113"/>
      <c r="R56" s="114"/>
      <c r="S56" s="232"/>
      <c r="T56" s="155"/>
      <c r="U56" s="155"/>
      <c r="V56" s="114"/>
      <c r="W56" s="114"/>
      <c r="X56" s="114"/>
      <c r="Y56" s="114"/>
      <c r="Z56" s="114"/>
    </row>
    <row r="57" spans="1:26" ht="20.100000000000001" customHeight="1" x14ac:dyDescent="0.25">
      <c r="A57" s="105"/>
      <c r="B57" s="106"/>
      <c r="C57" s="106"/>
      <c r="D57" s="107"/>
      <c r="E57" s="108"/>
      <c r="F57" s="109"/>
      <c r="G57" s="110"/>
      <c r="H57" s="225"/>
      <c r="I57" s="225"/>
      <c r="J57" s="111"/>
      <c r="K57" s="112"/>
      <c r="L57" s="108"/>
      <c r="M57" s="112"/>
      <c r="N57" s="112"/>
      <c r="O57" s="108"/>
      <c r="P57" s="113"/>
      <c r="Q57" s="113"/>
      <c r="R57" s="114"/>
      <c r="S57" s="232"/>
      <c r="T57" s="155"/>
      <c r="U57" s="155"/>
      <c r="V57" s="114"/>
      <c r="W57" s="114"/>
      <c r="X57" s="114"/>
      <c r="Y57" s="114"/>
      <c r="Z57" s="114"/>
    </row>
    <row r="58" spans="1:26" ht="20.100000000000001" customHeight="1" x14ac:dyDescent="0.25">
      <c r="A58" s="105"/>
      <c r="B58" s="106"/>
      <c r="C58" s="106"/>
      <c r="D58" s="107"/>
      <c r="E58" s="108"/>
      <c r="F58" s="109"/>
      <c r="G58" s="110"/>
      <c r="H58" s="225"/>
      <c r="I58" s="225"/>
      <c r="J58" s="111"/>
      <c r="K58" s="112"/>
      <c r="L58" s="108"/>
      <c r="M58" s="112"/>
      <c r="N58" s="112"/>
      <c r="O58" s="108"/>
      <c r="P58" s="113"/>
      <c r="Q58" s="113"/>
      <c r="R58" s="114"/>
      <c r="S58" s="232"/>
      <c r="T58" s="155"/>
      <c r="U58" s="155"/>
      <c r="V58" s="114"/>
      <c r="W58" s="114"/>
      <c r="X58" s="114"/>
      <c r="Y58" s="114"/>
      <c r="Z58" s="114"/>
    </row>
    <row r="59" spans="1:26" ht="20.100000000000001" customHeight="1" x14ac:dyDescent="0.25">
      <c r="A59" s="105"/>
      <c r="B59" s="106"/>
      <c r="C59" s="106"/>
      <c r="D59" s="107"/>
      <c r="E59" s="108"/>
      <c r="F59" s="109"/>
      <c r="G59" s="110"/>
      <c r="H59" s="225"/>
      <c r="I59" s="225"/>
      <c r="J59" s="111"/>
      <c r="K59" s="112"/>
      <c r="L59" s="108"/>
      <c r="M59" s="112"/>
      <c r="N59" s="112"/>
      <c r="O59" s="108"/>
      <c r="P59" s="113"/>
      <c r="Q59" s="113"/>
      <c r="R59" s="114"/>
      <c r="S59" s="232"/>
      <c r="T59" s="155"/>
      <c r="U59" s="155"/>
      <c r="V59" s="114"/>
      <c r="W59" s="114"/>
      <c r="X59" s="114"/>
      <c r="Y59" s="114"/>
      <c r="Z59" s="114"/>
    </row>
    <row r="60" spans="1:26" ht="20.100000000000001" customHeight="1" x14ac:dyDescent="0.25">
      <c r="A60" s="105"/>
      <c r="B60" s="106"/>
      <c r="C60" s="106"/>
      <c r="D60" s="107"/>
      <c r="E60" s="108"/>
      <c r="F60" s="109"/>
      <c r="G60" s="110"/>
      <c r="H60" s="225"/>
      <c r="I60" s="225"/>
      <c r="J60" s="111"/>
      <c r="K60" s="112"/>
      <c r="L60" s="108"/>
      <c r="M60" s="112"/>
      <c r="N60" s="112"/>
      <c r="O60" s="108"/>
      <c r="P60" s="113"/>
      <c r="Q60" s="113"/>
      <c r="R60" s="114"/>
      <c r="S60" s="232"/>
      <c r="T60" s="155"/>
      <c r="U60" s="155"/>
      <c r="V60" s="114"/>
      <c r="W60" s="114"/>
      <c r="X60" s="114"/>
      <c r="Y60" s="114"/>
      <c r="Z60" s="114"/>
    </row>
    <row r="61" spans="1:26" ht="20.100000000000001" customHeight="1" x14ac:dyDescent="0.25">
      <c r="A61" s="105"/>
      <c r="B61" s="106"/>
      <c r="C61" s="106"/>
      <c r="D61" s="107"/>
      <c r="E61" s="108"/>
      <c r="F61" s="109"/>
      <c r="G61" s="110"/>
      <c r="H61" s="225"/>
      <c r="I61" s="225"/>
      <c r="J61" s="111"/>
      <c r="K61" s="112"/>
      <c r="L61" s="108"/>
      <c r="M61" s="112"/>
      <c r="N61" s="112"/>
      <c r="O61" s="108"/>
      <c r="P61" s="113"/>
      <c r="Q61" s="113"/>
      <c r="R61" s="114"/>
      <c r="S61" s="232"/>
      <c r="T61" s="155"/>
      <c r="U61" s="155"/>
      <c r="V61" s="114"/>
      <c r="W61" s="114"/>
      <c r="X61" s="114"/>
      <c r="Y61" s="114"/>
      <c r="Z61" s="114"/>
    </row>
    <row r="62" spans="1:26" ht="20.100000000000001" customHeight="1" x14ac:dyDescent="0.25">
      <c r="A62" s="105"/>
      <c r="B62" s="106"/>
      <c r="C62" s="106"/>
      <c r="D62" s="107"/>
      <c r="E62" s="108"/>
      <c r="F62" s="109"/>
      <c r="G62" s="110"/>
      <c r="H62" s="225"/>
      <c r="I62" s="225"/>
      <c r="J62" s="111"/>
      <c r="K62" s="112"/>
      <c r="L62" s="108"/>
      <c r="M62" s="112"/>
      <c r="N62" s="112"/>
      <c r="O62" s="108"/>
      <c r="P62" s="113"/>
      <c r="Q62" s="113"/>
      <c r="R62" s="114"/>
      <c r="S62" s="232"/>
      <c r="T62" s="155"/>
      <c r="U62" s="155"/>
      <c r="V62" s="114"/>
      <c r="W62" s="114"/>
      <c r="X62" s="114"/>
      <c r="Y62" s="114"/>
      <c r="Z62" s="114"/>
    </row>
    <row r="63" spans="1:26" ht="20.100000000000001" customHeight="1" x14ac:dyDescent="0.25">
      <c r="A63" s="105"/>
      <c r="B63" s="106"/>
      <c r="C63" s="106"/>
      <c r="D63" s="107"/>
      <c r="E63" s="108"/>
      <c r="F63" s="109"/>
      <c r="G63" s="110"/>
      <c r="H63" s="225"/>
      <c r="I63" s="225"/>
      <c r="J63" s="111"/>
      <c r="K63" s="112"/>
      <c r="L63" s="108"/>
      <c r="M63" s="112"/>
      <c r="N63" s="112"/>
      <c r="O63" s="108"/>
      <c r="P63" s="113"/>
      <c r="Q63" s="113"/>
      <c r="R63" s="114"/>
      <c r="S63" s="232"/>
      <c r="T63" s="155"/>
      <c r="U63" s="155"/>
      <c r="V63" s="114"/>
      <c r="W63" s="114"/>
      <c r="X63" s="114"/>
      <c r="Y63" s="114"/>
      <c r="Z63" s="114"/>
    </row>
    <row r="64" spans="1:26" ht="20.100000000000001" customHeight="1" x14ac:dyDescent="0.25">
      <c r="A64" s="105"/>
      <c r="B64" s="106"/>
      <c r="C64" s="106"/>
      <c r="D64" s="107"/>
      <c r="E64" s="108"/>
      <c r="F64" s="109"/>
      <c r="G64" s="110"/>
      <c r="H64" s="225"/>
      <c r="I64" s="225"/>
      <c r="J64" s="111"/>
      <c r="K64" s="112"/>
      <c r="L64" s="108"/>
      <c r="M64" s="112"/>
      <c r="N64" s="112"/>
      <c r="O64" s="108"/>
      <c r="P64" s="113"/>
      <c r="Q64" s="113"/>
      <c r="R64" s="114"/>
      <c r="S64" s="232"/>
      <c r="T64" s="155"/>
      <c r="U64" s="155"/>
      <c r="V64" s="114"/>
      <c r="W64" s="114"/>
      <c r="X64" s="114"/>
      <c r="Y64" s="114"/>
      <c r="Z64" s="114"/>
    </row>
    <row r="65" spans="1:26" ht="20.100000000000001" customHeight="1" x14ac:dyDescent="0.25">
      <c r="A65" s="105"/>
      <c r="B65" s="106"/>
      <c r="C65" s="106"/>
      <c r="D65" s="107"/>
      <c r="E65" s="108"/>
      <c r="F65" s="109"/>
      <c r="G65" s="110"/>
      <c r="H65" s="225"/>
      <c r="I65" s="225"/>
      <c r="J65" s="111"/>
      <c r="K65" s="112"/>
      <c r="L65" s="108"/>
      <c r="M65" s="112"/>
      <c r="N65" s="112"/>
      <c r="O65" s="108"/>
      <c r="P65" s="113"/>
      <c r="Q65" s="113"/>
      <c r="R65" s="114"/>
      <c r="S65" s="232"/>
      <c r="T65" s="155"/>
      <c r="U65" s="155"/>
      <c r="V65" s="114"/>
      <c r="W65" s="114"/>
      <c r="X65" s="114"/>
      <c r="Y65" s="114"/>
      <c r="Z65" s="114"/>
    </row>
    <row r="66" spans="1:26" ht="20.100000000000001" customHeight="1" x14ac:dyDescent="0.25">
      <c r="A66" s="105"/>
      <c r="B66" s="106"/>
      <c r="C66" s="106"/>
      <c r="D66" s="107"/>
      <c r="E66" s="108"/>
      <c r="F66" s="109"/>
      <c r="G66" s="110"/>
      <c r="H66" s="225"/>
      <c r="I66" s="225"/>
      <c r="J66" s="111"/>
      <c r="K66" s="112"/>
      <c r="L66" s="108"/>
      <c r="M66" s="112"/>
      <c r="N66" s="112"/>
      <c r="O66" s="108"/>
      <c r="P66" s="113"/>
      <c r="Q66" s="113"/>
      <c r="R66" s="114"/>
      <c r="S66" s="232"/>
      <c r="T66" s="155"/>
      <c r="U66" s="155"/>
      <c r="V66" s="114"/>
      <c r="W66" s="114"/>
      <c r="X66" s="114"/>
      <c r="Y66" s="114"/>
      <c r="Z66" s="114"/>
    </row>
    <row r="67" spans="1:26" ht="20.100000000000001" customHeight="1" x14ac:dyDescent="0.25">
      <c r="A67" s="105"/>
      <c r="B67" s="106"/>
      <c r="C67" s="106"/>
      <c r="D67" s="107"/>
      <c r="E67" s="108"/>
      <c r="F67" s="109"/>
      <c r="G67" s="110"/>
      <c r="H67" s="225"/>
      <c r="I67" s="225"/>
      <c r="J67" s="111"/>
      <c r="K67" s="112"/>
      <c r="L67" s="108"/>
      <c r="M67" s="112"/>
      <c r="N67" s="112"/>
      <c r="O67" s="108"/>
      <c r="P67" s="113"/>
      <c r="Q67" s="113"/>
      <c r="R67" s="114"/>
      <c r="S67" s="232"/>
      <c r="T67" s="155"/>
      <c r="U67" s="155"/>
      <c r="V67" s="114"/>
      <c r="W67" s="114"/>
      <c r="X67" s="114"/>
      <c r="Y67" s="114"/>
      <c r="Z67" s="114"/>
    </row>
    <row r="68" spans="1:26" ht="20.100000000000001" customHeight="1" x14ac:dyDescent="0.25">
      <c r="A68" s="105"/>
      <c r="B68" s="106"/>
      <c r="C68" s="106"/>
      <c r="D68" s="107"/>
      <c r="E68" s="108"/>
      <c r="F68" s="109"/>
      <c r="G68" s="110"/>
      <c r="H68" s="225"/>
      <c r="I68" s="225"/>
      <c r="J68" s="111"/>
      <c r="K68" s="112"/>
      <c r="L68" s="108"/>
      <c r="M68" s="112"/>
      <c r="N68" s="112"/>
      <c r="O68" s="108"/>
      <c r="P68" s="113"/>
      <c r="Q68" s="113"/>
      <c r="R68" s="114"/>
      <c r="S68" s="232"/>
      <c r="T68" s="155"/>
      <c r="U68" s="155"/>
      <c r="V68" s="114"/>
      <c r="W68" s="114"/>
      <c r="X68" s="114"/>
      <c r="Y68" s="114"/>
      <c r="Z68" s="114"/>
    </row>
    <row r="69" spans="1:26" ht="20.100000000000001" customHeight="1" x14ac:dyDescent="0.25">
      <c r="A69" s="105"/>
      <c r="B69" s="106"/>
      <c r="C69" s="106"/>
      <c r="D69" s="107"/>
      <c r="E69" s="108"/>
      <c r="F69" s="109"/>
      <c r="G69" s="110"/>
      <c r="H69" s="225"/>
      <c r="I69" s="225"/>
      <c r="J69" s="111"/>
      <c r="K69" s="112"/>
      <c r="L69" s="108"/>
      <c r="M69" s="112"/>
      <c r="N69" s="112"/>
      <c r="O69" s="108"/>
      <c r="P69" s="113"/>
      <c r="Q69" s="113"/>
      <c r="R69" s="114"/>
      <c r="S69" s="232"/>
      <c r="T69" s="155"/>
      <c r="U69" s="155"/>
      <c r="V69" s="114"/>
      <c r="W69" s="114"/>
      <c r="X69" s="114"/>
      <c r="Y69" s="114"/>
      <c r="Z69" s="114"/>
    </row>
    <row r="70" spans="1:26" ht="20.100000000000001" customHeight="1" x14ac:dyDescent="0.25">
      <c r="A70" s="105"/>
      <c r="B70" s="106"/>
      <c r="C70" s="106"/>
      <c r="D70" s="107"/>
      <c r="E70" s="108"/>
      <c r="F70" s="109"/>
      <c r="G70" s="110"/>
      <c r="H70" s="225"/>
      <c r="I70" s="225"/>
      <c r="J70" s="111"/>
      <c r="K70" s="112"/>
      <c r="L70" s="108"/>
      <c r="M70" s="112"/>
      <c r="N70" s="112"/>
      <c r="O70" s="108"/>
      <c r="P70" s="113"/>
      <c r="Q70" s="113"/>
      <c r="R70" s="114"/>
      <c r="S70" s="232"/>
      <c r="T70" s="155"/>
      <c r="U70" s="155"/>
      <c r="V70" s="114"/>
      <c r="W70" s="114"/>
      <c r="X70" s="114"/>
      <c r="Y70" s="114"/>
      <c r="Z70" s="114"/>
    </row>
    <row r="71" spans="1:26" ht="20.100000000000001" customHeight="1" x14ac:dyDescent="0.25">
      <c r="A71" s="105"/>
      <c r="B71" s="106"/>
      <c r="C71" s="106"/>
      <c r="D71" s="107"/>
      <c r="E71" s="108"/>
      <c r="F71" s="109"/>
      <c r="G71" s="110"/>
      <c r="H71" s="225"/>
      <c r="I71" s="225"/>
      <c r="J71" s="111"/>
      <c r="K71" s="112"/>
      <c r="L71" s="108"/>
      <c r="M71" s="112"/>
      <c r="N71" s="112"/>
      <c r="O71" s="108"/>
      <c r="P71" s="113"/>
      <c r="Q71" s="113"/>
      <c r="R71" s="114"/>
      <c r="S71" s="232"/>
      <c r="T71" s="155"/>
      <c r="U71" s="155"/>
      <c r="V71" s="114"/>
      <c r="W71" s="114"/>
      <c r="X71" s="114"/>
      <c r="Y71" s="114"/>
      <c r="Z71" s="114"/>
    </row>
    <row r="72" spans="1:26" ht="20.100000000000001" customHeight="1" x14ac:dyDescent="0.25">
      <c r="A72" s="105"/>
      <c r="B72" s="106"/>
      <c r="C72" s="106"/>
      <c r="D72" s="107"/>
      <c r="E72" s="108"/>
      <c r="F72" s="109"/>
      <c r="G72" s="110"/>
      <c r="H72" s="225"/>
      <c r="I72" s="225"/>
      <c r="J72" s="111"/>
      <c r="K72" s="112"/>
      <c r="L72" s="108"/>
      <c r="M72" s="112"/>
      <c r="N72" s="112"/>
      <c r="O72" s="108"/>
      <c r="P72" s="113"/>
      <c r="Q72" s="113"/>
      <c r="R72" s="114"/>
      <c r="S72" s="232"/>
      <c r="T72" s="155"/>
      <c r="U72" s="155"/>
      <c r="V72" s="114"/>
      <c r="W72" s="114"/>
      <c r="X72" s="114"/>
      <c r="Y72" s="114"/>
      <c r="Z72" s="114"/>
    </row>
    <row r="73" spans="1:26" ht="20.100000000000001" customHeight="1" x14ac:dyDescent="0.25">
      <c r="A73" s="105"/>
      <c r="B73" s="106"/>
      <c r="C73" s="106"/>
      <c r="D73" s="107"/>
      <c r="E73" s="108"/>
      <c r="F73" s="109"/>
      <c r="G73" s="110"/>
      <c r="H73" s="225"/>
      <c r="I73" s="225"/>
      <c r="J73" s="111"/>
      <c r="K73" s="112"/>
      <c r="L73" s="108"/>
      <c r="M73" s="112"/>
      <c r="N73" s="112"/>
      <c r="O73" s="108"/>
      <c r="P73" s="113"/>
      <c r="Q73" s="113"/>
      <c r="R73" s="114"/>
      <c r="S73" s="232"/>
      <c r="T73" s="155"/>
      <c r="U73" s="155"/>
      <c r="V73" s="114"/>
      <c r="W73" s="114"/>
      <c r="X73" s="114"/>
      <c r="Y73" s="114"/>
      <c r="Z73" s="114"/>
    </row>
    <row r="74" spans="1:26" ht="20.100000000000001" customHeight="1" x14ac:dyDescent="0.25">
      <c r="A74" s="105"/>
      <c r="B74" s="106"/>
      <c r="C74" s="106"/>
      <c r="D74" s="107"/>
      <c r="E74" s="108"/>
      <c r="F74" s="109"/>
      <c r="G74" s="110"/>
      <c r="H74" s="225"/>
      <c r="I74" s="225"/>
      <c r="J74" s="111"/>
      <c r="K74" s="112"/>
      <c r="L74" s="108"/>
      <c r="M74" s="112"/>
      <c r="N74" s="112"/>
      <c r="O74" s="108"/>
      <c r="P74" s="113"/>
      <c r="Q74" s="113"/>
      <c r="R74" s="114"/>
      <c r="S74" s="232"/>
      <c r="T74" s="155"/>
      <c r="U74" s="155"/>
      <c r="V74" s="114"/>
      <c r="W74" s="114"/>
      <c r="X74" s="114"/>
      <c r="Y74" s="114"/>
      <c r="Z74" s="114"/>
    </row>
    <row r="75" spans="1:26" ht="20.100000000000001" customHeight="1" x14ac:dyDescent="0.25">
      <c r="A75" s="105"/>
      <c r="B75" s="106"/>
      <c r="C75" s="106"/>
      <c r="D75" s="107"/>
      <c r="E75" s="108"/>
      <c r="F75" s="109"/>
      <c r="G75" s="110"/>
      <c r="H75" s="225"/>
      <c r="I75" s="225"/>
      <c r="J75" s="111"/>
      <c r="K75" s="112"/>
      <c r="L75" s="108"/>
      <c r="M75" s="112"/>
      <c r="N75" s="112"/>
      <c r="O75" s="108"/>
      <c r="P75" s="113"/>
      <c r="Q75" s="113"/>
      <c r="R75" s="114"/>
      <c r="S75" s="232"/>
      <c r="T75" s="155"/>
      <c r="U75" s="155"/>
      <c r="V75" s="114"/>
      <c r="W75" s="114"/>
      <c r="X75" s="114"/>
      <c r="Y75" s="114"/>
      <c r="Z75" s="114"/>
    </row>
    <row r="76" spans="1:26" ht="20.100000000000001" customHeight="1" x14ac:dyDescent="0.25">
      <c r="A76" s="105"/>
      <c r="B76" s="106"/>
      <c r="C76" s="106"/>
      <c r="D76" s="107"/>
      <c r="E76" s="108"/>
      <c r="F76" s="109"/>
      <c r="G76" s="110"/>
      <c r="H76" s="225"/>
      <c r="I76" s="225"/>
      <c r="J76" s="111"/>
      <c r="K76" s="112"/>
      <c r="L76" s="108"/>
      <c r="M76" s="112"/>
      <c r="N76" s="112"/>
      <c r="O76" s="108"/>
      <c r="P76" s="113"/>
      <c r="Q76" s="113"/>
      <c r="R76" s="114"/>
      <c r="S76" s="232"/>
      <c r="T76" s="155"/>
      <c r="U76" s="155"/>
      <c r="V76" s="114"/>
      <c r="W76" s="114"/>
      <c r="X76" s="114"/>
      <c r="Y76" s="114"/>
      <c r="Z76" s="114"/>
    </row>
    <row r="77" spans="1:26" ht="20.100000000000001" customHeight="1" x14ac:dyDescent="0.25">
      <c r="A77" s="105"/>
      <c r="B77" s="106"/>
      <c r="C77" s="106"/>
      <c r="D77" s="107"/>
      <c r="E77" s="108"/>
      <c r="F77" s="109"/>
      <c r="G77" s="110"/>
      <c r="H77" s="225"/>
      <c r="I77" s="225"/>
      <c r="J77" s="111"/>
      <c r="K77" s="112"/>
      <c r="L77" s="108"/>
      <c r="M77" s="112"/>
      <c r="N77" s="112"/>
      <c r="O77" s="108"/>
      <c r="P77" s="113"/>
      <c r="Q77" s="113"/>
      <c r="R77" s="114"/>
      <c r="S77" s="232"/>
      <c r="T77" s="155"/>
      <c r="U77" s="155"/>
      <c r="V77" s="114"/>
      <c r="W77" s="114"/>
      <c r="X77" s="114"/>
      <c r="Y77" s="114"/>
      <c r="Z77" s="114"/>
    </row>
    <row r="78" spans="1:26" ht="20.100000000000001" customHeight="1" x14ac:dyDescent="0.25">
      <c r="A78" s="105"/>
      <c r="B78" s="106"/>
      <c r="C78" s="106"/>
      <c r="D78" s="107"/>
      <c r="E78" s="108"/>
      <c r="F78" s="109"/>
      <c r="G78" s="110"/>
      <c r="H78" s="225"/>
      <c r="I78" s="225"/>
      <c r="J78" s="111"/>
      <c r="K78" s="112"/>
      <c r="L78" s="108"/>
      <c r="M78" s="112"/>
      <c r="N78" s="112"/>
      <c r="O78" s="108"/>
      <c r="P78" s="113"/>
      <c r="Q78" s="113"/>
      <c r="R78" s="114"/>
      <c r="S78" s="232"/>
      <c r="T78" s="155"/>
      <c r="U78" s="155"/>
      <c r="V78" s="114"/>
      <c r="W78" s="114"/>
      <c r="X78" s="114"/>
      <c r="Y78" s="114"/>
      <c r="Z78" s="114"/>
    </row>
    <row r="79" spans="1:26" ht="20.100000000000001" customHeight="1" x14ac:dyDescent="0.25">
      <c r="A79" s="105"/>
      <c r="B79" s="106"/>
      <c r="C79" s="106"/>
      <c r="D79" s="107"/>
      <c r="E79" s="108"/>
      <c r="F79" s="109"/>
      <c r="G79" s="110"/>
      <c r="H79" s="225"/>
      <c r="I79" s="225"/>
      <c r="J79" s="111"/>
      <c r="K79" s="112"/>
      <c r="L79" s="108"/>
      <c r="M79" s="112"/>
      <c r="N79" s="112"/>
      <c r="O79" s="108"/>
      <c r="P79" s="113"/>
      <c r="Q79" s="113"/>
      <c r="R79" s="114"/>
      <c r="S79" s="232"/>
      <c r="T79" s="155"/>
      <c r="U79" s="155"/>
      <c r="V79" s="114"/>
      <c r="W79" s="114"/>
      <c r="X79" s="114"/>
      <c r="Y79" s="114"/>
      <c r="Z79" s="114"/>
    </row>
    <row r="80" spans="1:26" ht="20.100000000000001" customHeight="1" x14ac:dyDescent="0.25">
      <c r="A80" s="105"/>
      <c r="B80" s="106"/>
      <c r="C80" s="106"/>
      <c r="D80" s="107"/>
      <c r="E80" s="108"/>
      <c r="F80" s="109"/>
      <c r="G80" s="110"/>
      <c r="H80" s="225"/>
      <c r="I80" s="225"/>
      <c r="J80" s="111"/>
      <c r="K80" s="112"/>
      <c r="L80" s="108"/>
      <c r="M80" s="112"/>
      <c r="N80" s="112"/>
      <c r="O80" s="108"/>
      <c r="P80" s="113"/>
      <c r="Q80" s="113"/>
      <c r="R80" s="114"/>
      <c r="S80" s="232"/>
      <c r="T80" s="155"/>
      <c r="U80" s="155"/>
      <c r="V80" s="114"/>
      <c r="W80" s="114"/>
      <c r="X80" s="114"/>
      <c r="Y80" s="114"/>
      <c r="Z80" s="114"/>
    </row>
    <row r="81" spans="1:26" ht="20.100000000000001" customHeight="1" x14ac:dyDescent="0.25">
      <c r="A81" s="105"/>
      <c r="B81" s="106"/>
      <c r="C81" s="106"/>
      <c r="D81" s="107"/>
      <c r="E81" s="108"/>
      <c r="F81" s="109"/>
      <c r="G81" s="110"/>
      <c r="H81" s="225"/>
      <c r="I81" s="225"/>
      <c r="J81" s="111"/>
      <c r="K81" s="112"/>
      <c r="L81" s="108"/>
      <c r="M81" s="112"/>
      <c r="N81" s="112"/>
      <c r="O81" s="108"/>
      <c r="P81" s="113"/>
      <c r="Q81" s="113"/>
      <c r="R81" s="114"/>
      <c r="S81" s="232"/>
      <c r="T81" s="155"/>
      <c r="U81" s="155"/>
      <c r="V81" s="114"/>
      <c r="W81" s="114"/>
      <c r="X81" s="114"/>
      <c r="Y81" s="114"/>
      <c r="Z81" s="114"/>
    </row>
    <row r="82" spans="1:26" ht="20.100000000000001" customHeight="1" x14ac:dyDescent="0.25">
      <c r="A82" s="105"/>
      <c r="B82" s="106"/>
      <c r="C82" s="106"/>
      <c r="D82" s="107"/>
      <c r="E82" s="108"/>
      <c r="F82" s="109"/>
      <c r="G82" s="110"/>
      <c r="H82" s="225"/>
      <c r="I82" s="225"/>
      <c r="J82" s="111"/>
      <c r="K82" s="112"/>
      <c r="L82" s="108"/>
      <c r="M82" s="112"/>
      <c r="N82" s="112"/>
      <c r="O82" s="108"/>
      <c r="P82" s="113"/>
      <c r="Q82" s="113"/>
      <c r="R82" s="114"/>
      <c r="S82" s="232"/>
      <c r="T82" s="155"/>
      <c r="U82" s="155"/>
      <c r="V82" s="114"/>
      <c r="W82" s="114"/>
      <c r="X82" s="114"/>
      <c r="Y82" s="114"/>
      <c r="Z82" s="114"/>
    </row>
    <row r="83" spans="1:26" ht="20.100000000000001" customHeight="1" x14ac:dyDescent="0.25">
      <c r="A83" s="105"/>
      <c r="B83" s="118"/>
      <c r="C83" s="118"/>
      <c r="D83" s="121"/>
      <c r="E83" s="122"/>
      <c r="F83" s="123"/>
      <c r="G83" s="124"/>
      <c r="H83" s="226"/>
      <c r="I83" s="226"/>
      <c r="J83" s="125"/>
      <c r="K83" s="126"/>
      <c r="L83" s="122"/>
      <c r="M83" s="126"/>
      <c r="N83" s="126"/>
      <c r="O83" s="122"/>
      <c r="P83" s="127"/>
      <c r="Q83" s="127"/>
      <c r="R83" s="128"/>
      <c r="S83" s="233"/>
      <c r="T83" s="234"/>
      <c r="U83" s="234"/>
      <c r="V83" s="128"/>
      <c r="W83" s="128"/>
      <c r="X83" s="128"/>
      <c r="Y83" s="128"/>
      <c r="Z83" s="128"/>
    </row>
    <row r="84" spans="1:26" ht="20.100000000000001" customHeight="1" x14ac:dyDescent="0.25">
      <c r="A84" s="105"/>
      <c r="B84" s="101"/>
      <c r="C84" s="101"/>
      <c r="D84" s="129"/>
      <c r="E84" s="130"/>
      <c r="F84" s="131"/>
      <c r="G84" s="132"/>
      <c r="H84" s="227"/>
      <c r="I84" s="227"/>
      <c r="J84" s="133"/>
      <c r="K84" s="134"/>
      <c r="L84" s="130"/>
      <c r="M84" s="134"/>
      <c r="N84" s="134"/>
      <c r="O84" s="130"/>
      <c r="P84" s="135"/>
      <c r="Q84" s="135"/>
      <c r="R84" s="136"/>
      <c r="S84" s="235"/>
      <c r="T84" s="139"/>
      <c r="U84" s="139"/>
      <c r="V84" s="136"/>
      <c r="W84" s="136"/>
      <c r="X84" s="136"/>
      <c r="Y84" s="136"/>
      <c r="Z84" s="136"/>
    </row>
    <row r="85" spans="1:26" ht="20.100000000000001" customHeight="1" x14ac:dyDescent="0.25">
      <c r="A85" s="105"/>
      <c r="B85" s="101"/>
      <c r="C85" s="101"/>
      <c r="D85" s="137"/>
      <c r="E85" s="138"/>
      <c r="F85" s="131"/>
      <c r="G85" s="132"/>
      <c r="H85" s="227"/>
      <c r="I85" s="227"/>
      <c r="J85" s="133"/>
      <c r="K85" s="136"/>
      <c r="L85" s="138"/>
      <c r="M85" s="136"/>
      <c r="N85" s="136"/>
      <c r="O85" s="138"/>
      <c r="P85" s="139"/>
      <c r="Q85" s="139"/>
      <c r="R85" s="136"/>
      <c r="S85" s="235"/>
      <c r="T85" s="139"/>
      <c r="U85" s="139"/>
      <c r="V85" s="136"/>
      <c r="W85" s="136"/>
      <c r="X85" s="136"/>
      <c r="Y85" s="136"/>
      <c r="Z85" s="136"/>
    </row>
    <row r="86" spans="1:26" ht="20.100000000000001" customHeight="1" x14ac:dyDescent="0.25">
      <c r="A86" s="105"/>
      <c r="B86" s="101"/>
      <c r="C86" s="101"/>
      <c r="D86" s="140"/>
      <c r="E86" s="141"/>
      <c r="F86" s="142"/>
      <c r="G86" s="143"/>
      <c r="H86" s="228"/>
      <c r="I86" s="228"/>
      <c r="J86" s="144"/>
      <c r="K86" s="145"/>
      <c r="L86" s="141"/>
      <c r="M86" s="145"/>
      <c r="N86" s="145"/>
      <c r="O86" s="141"/>
      <c r="P86" s="146"/>
      <c r="Q86" s="146"/>
      <c r="R86" s="145"/>
      <c r="S86" s="158"/>
      <c r="T86" s="146"/>
      <c r="U86" s="146"/>
      <c r="V86" s="145"/>
      <c r="W86" s="145"/>
      <c r="X86" s="145"/>
      <c r="Y86" s="145"/>
      <c r="Z86" s="145"/>
    </row>
    <row r="87" spans="1:26" ht="20.100000000000001" customHeight="1" x14ac:dyDescent="0.25">
      <c r="A87" s="105"/>
      <c r="B87" s="101"/>
      <c r="C87" s="101"/>
      <c r="D87" s="140"/>
      <c r="E87" s="141"/>
      <c r="F87" s="142"/>
      <c r="G87" s="143"/>
      <c r="H87" s="228"/>
      <c r="I87" s="228"/>
      <c r="J87" s="144"/>
      <c r="K87" s="145"/>
      <c r="L87" s="141"/>
      <c r="M87" s="145"/>
      <c r="N87" s="145"/>
      <c r="O87" s="141"/>
      <c r="P87" s="146"/>
      <c r="Q87" s="146"/>
      <c r="R87" s="145"/>
      <c r="S87" s="158"/>
      <c r="T87" s="146"/>
      <c r="U87" s="146"/>
      <c r="V87" s="145"/>
      <c r="W87" s="145"/>
      <c r="X87" s="145"/>
      <c r="Y87" s="145"/>
      <c r="Z87" s="145"/>
    </row>
    <row r="88" spans="1:26" ht="20.100000000000001" customHeight="1" x14ac:dyDescent="0.25">
      <c r="A88" s="105"/>
      <c r="B88" s="101"/>
      <c r="C88" s="101"/>
      <c r="D88" s="140"/>
      <c r="E88" s="141"/>
      <c r="F88" s="142"/>
      <c r="G88" s="143"/>
      <c r="H88" s="228"/>
      <c r="I88" s="228"/>
      <c r="J88" s="144"/>
      <c r="K88" s="145"/>
      <c r="L88" s="141"/>
      <c r="M88" s="145"/>
      <c r="N88" s="145"/>
      <c r="O88" s="141"/>
      <c r="P88" s="146"/>
      <c r="Q88" s="146"/>
      <c r="R88" s="145"/>
      <c r="S88" s="158"/>
      <c r="T88" s="146"/>
      <c r="U88" s="146"/>
      <c r="V88" s="145"/>
      <c r="W88" s="145"/>
      <c r="X88" s="145"/>
      <c r="Y88" s="145"/>
      <c r="Z88" s="145"/>
    </row>
    <row r="89" spans="1:26" ht="20.100000000000001" customHeight="1" x14ac:dyDescent="0.25">
      <c r="A89" s="105"/>
      <c r="B89" s="101"/>
      <c r="C89" s="101"/>
      <c r="D89" s="140"/>
      <c r="E89" s="141"/>
      <c r="F89" s="142"/>
      <c r="G89" s="143"/>
      <c r="H89" s="228"/>
      <c r="I89" s="228"/>
      <c r="J89" s="144"/>
      <c r="K89" s="145"/>
      <c r="L89" s="141"/>
      <c r="M89" s="145"/>
      <c r="N89" s="145"/>
      <c r="O89" s="141"/>
      <c r="P89" s="146"/>
      <c r="Q89" s="146"/>
      <c r="R89" s="145"/>
      <c r="S89" s="158"/>
      <c r="T89" s="146"/>
      <c r="U89" s="146"/>
      <c r="V89" s="145"/>
      <c r="W89" s="145"/>
      <c r="X89" s="145"/>
      <c r="Y89" s="145"/>
      <c r="Z89" s="145"/>
    </row>
    <row r="90" spans="1:26" ht="20.100000000000001" customHeight="1" x14ac:dyDescent="0.25">
      <c r="A90" s="105"/>
      <c r="B90" s="101"/>
      <c r="C90" s="101"/>
      <c r="D90" s="140"/>
      <c r="E90" s="141"/>
      <c r="F90" s="142"/>
      <c r="G90" s="143"/>
      <c r="H90" s="228"/>
      <c r="I90" s="228"/>
      <c r="J90" s="144"/>
      <c r="K90" s="145"/>
      <c r="L90" s="141"/>
      <c r="M90" s="145"/>
      <c r="N90" s="145"/>
      <c r="O90" s="141"/>
      <c r="P90" s="146"/>
      <c r="Q90" s="146"/>
      <c r="R90" s="145"/>
      <c r="S90" s="158"/>
      <c r="T90" s="146"/>
      <c r="U90" s="146"/>
      <c r="V90" s="145"/>
      <c r="W90" s="145"/>
      <c r="X90" s="145"/>
      <c r="Y90" s="145"/>
      <c r="Z90" s="145"/>
    </row>
    <row r="91" spans="1:26" ht="20.100000000000001" customHeight="1" x14ac:dyDescent="0.25">
      <c r="A91" s="105"/>
      <c r="B91" s="101"/>
      <c r="C91" s="101"/>
      <c r="D91" s="140"/>
      <c r="E91" s="141"/>
      <c r="F91" s="142"/>
      <c r="G91" s="143"/>
      <c r="H91" s="228"/>
      <c r="I91" s="228"/>
      <c r="J91" s="144"/>
      <c r="K91" s="145"/>
      <c r="L91" s="141"/>
      <c r="M91" s="145"/>
      <c r="N91" s="145"/>
      <c r="O91" s="141"/>
      <c r="P91" s="146"/>
      <c r="Q91" s="146"/>
      <c r="R91" s="145"/>
      <c r="S91" s="158"/>
      <c r="T91" s="146"/>
      <c r="U91" s="146"/>
      <c r="V91" s="145"/>
      <c r="W91" s="145"/>
      <c r="X91" s="145"/>
      <c r="Y91" s="145"/>
      <c r="Z91" s="145"/>
    </row>
    <row r="92" spans="1:26" ht="20.100000000000001" customHeight="1" x14ac:dyDescent="0.25">
      <c r="A92" s="105"/>
      <c r="B92" s="101"/>
      <c r="C92" s="101"/>
      <c r="D92" s="140"/>
      <c r="E92" s="141"/>
      <c r="F92" s="142"/>
      <c r="G92" s="143"/>
      <c r="H92" s="228"/>
      <c r="I92" s="228"/>
      <c r="J92" s="144"/>
      <c r="K92" s="145"/>
      <c r="L92" s="141"/>
      <c r="M92" s="145"/>
      <c r="N92" s="145"/>
      <c r="O92" s="141"/>
      <c r="P92" s="146"/>
      <c r="Q92" s="146"/>
      <c r="R92" s="145"/>
      <c r="S92" s="158"/>
      <c r="T92" s="146"/>
      <c r="U92" s="146"/>
      <c r="V92" s="145"/>
      <c r="W92" s="145"/>
      <c r="X92" s="145"/>
      <c r="Y92" s="145"/>
      <c r="Z92" s="145"/>
    </row>
    <row r="93" spans="1:26" ht="20.100000000000001" customHeight="1" x14ac:dyDescent="0.25">
      <c r="A93" s="105"/>
      <c r="B93" s="101"/>
      <c r="C93" s="101"/>
      <c r="D93" s="140"/>
      <c r="E93" s="141"/>
      <c r="F93" s="142"/>
      <c r="G93" s="143"/>
      <c r="H93" s="228"/>
      <c r="I93" s="228"/>
      <c r="J93" s="144"/>
      <c r="K93" s="145"/>
      <c r="L93" s="141"/>
      <c r="M93" s="145"/>
      <c r="N93" s="145"/>
      <c r="O93" s="141"/>
      <c r="P93" s="146"/>
      <c r="Q93" s="146"/>
      <c r="R93" s="145"/>
      <c r="S93" s="158"/>
      <c r="T93" s="146"/>
      <c r="U93" s="146"/>
      <c r="V93" s="145"/>
      <c r="W93" s="145"/>
      <c r="X93" s="145"/>
      <c r="Y93" s="145"/>
      <c r="Z93" s="145"/>
    </row>
    <row r="94" spans="1:26" ht="20.100000000000001" customHeight="1" x14ac:dyDescent="0.25">
      <c r="A94" s="105"/>
      <c r="B94" s="101"/>
      <c r="C94" s="101"/>
      <c r="D94" s="140"/>
      <c r="E94" s="141"/>
      <c r="F94" s="142"/>
      <c r="G94" s="143"/>
      <c r="H94" s="228"/>
      <c r="I94" s="228"/>
      <c r="J94" s="144"/>
      <c r="K94" s="145"/>
      <c r="L94" s="141"/>
      <c r="M94" s="145"/>
      <c r="N94" s="145"/>
      <c r="O94" s="141"/>
      <c r="P94" s="146"/>
      <c r="Q94" s="146"/>
      <c r="R94" s="145"/>
      <c r="S94" s="158"/>
      <c r="T94" s="146"/>
      <c r="U94" s="146"/>
      <c r="V94" s="145"/>
      <c r="W94" s="145"/>
      <c r="X94" s="145"/>
      <c r="Y94" s="145"/>
      <c r="Z94" s="145"/>
    </row>
    <row r="95" spans="1:26" ht="20.100000000000001" customHeight="1" x14ac:dyDescent="0.25">
      <c r="A95" s="105"/>
      <c r="B95" s="101"/>
      <c r="C95" s="101"/>
      <c r="D95" s="140"/>
      <c r="E95" s="141"/>
      <c r="F95" s="142"/>
      <c r="G95" s="143"/>
      <c r="H95" s="228"/>
      <c r="I95" s="228"/>
      <c r="J95" s="144"/>
      <c r="K95" s="145"/>
      <c r="L95" s="141"/>
      <c r="M95" s="145"/>
      <c r="N95" s="145"/>
      <c r="O95" s="141"/>
      <c r="P95" s="146"/>
      <c r="Q95" s="146"/>
      <c r="R95" s="145"/>
      <c r="S95" s="158"/>
      <c r="T95" s="146"/>
      <c r="U95" s="146"/>
      <c r="V95" s="145"/>
      <c r="W95" s="145"/>
      <c r="X95" s="145"/>
      <c r="Y95" s="145"/>
      <c r="Z95" s="145"/>
    </row>
    <row r="96" spans="1:26" ht="20.100000000000001" customHeight="1" x14ac:dyDescent="0.25">
      <c r="A96" s="105"/>
      <c r="B96" s="101"/>
      <c r="C96" s="101"/>
      <c r="D96" s="140"/>
      <c r="E96" s="141"/>
      <c r="F96" s="142"/>
      <c r="G96" s="143"/>
      <c r="H96" s="228"/>
      <c r="I96" s="228"/>
      <c r="J96" s="144"/>
      <c r="K96" s="145"/>
      <c r="L96" s="141"/>
      <c r="M96" s="145"/>
      <c r="N96" s="145"/>
      <c r="O96" s="141"/>
      <c r="P96" s="146"/>
      <c r="Q96" s="146"/>
      <c r="R96" s="145"/>
      <c r="S96" s="158"/>
      <c r="T96" s="146"/>
      <c r="U96" s="146"/>
      <c r="V96" s="145"/>
      <c r="W96" s="145"/>
      <c r="X96" s="145"/>
      <c r="Y96" s="145"/>
      <c r="Z96" s="145"/>
    </row>
    <row r="97" spans="1:26" ht="20.100000000000001" customHeight="1" x14ac:dyDescent="0.25">
      <c r="A97" s="105"/>
      <c r="B97" s="101"/>
      <c r="C97" s="101"/>
      <c r="D97" s="140"/>
      <c r="E97" s="141"/>
      <c r="F97" s="142"/>
      <c r="G97" s="143"/>
      <c r="H97" s="228"/>
      <c r="I97" s="228"/>
      <c r="J97" s="144"/>
      <c r="K97" s="145"/>
      <c r="L97" s="141"/>
      <c r="M97" s="145"/>
      <c r="N97" s="145"/>
      <c r="O97" s="141"/>
      <c r="P97" s="146"/>
      <c r="Q97" s="146"/>
      <c r="R97" s="145"/>
      <c r="S97" s="158"/>
      <c r="T97" s="146"/>
      <c r="U97" s="146"/>
      <c r="V97" s="145"/>
      <c r="W97" s="145"/>
      <c r="X97" s="145"/>
      <c r="Y97" s="145"/>
      <c r="Z97" s="145"/>
    </row>
    <row r="98" spans="1:26" ht="20.100000000000001" customHeight="1" x14ac:dyDescent="0.25">
      <c r="A98" s="105"/>
      <c r="B98" s="101"/>
      <c r="C98" s="101"/>
      <c r="D98" s="147"/>
      <c r="E98" s="116"/>
      <c r="F98" s="148"/>
      <c r="G98" s="149"/>
      <c r="H98" s="229"/>
      <c r="I98" s="229"/>
      <c r="J98" s="150"/>
      <c r="K98" s="115"/>
      <c r="L98" s="116"/>
      <c r="M98" s="115"/>
      <c r="N98" s="115"/>
      <c r="O98" s="116"/>
      <c r="P98" s="63"/>
      <c r="Q98" s="63"/>
      <c r="R98" s="115"/>
      <c r="S98" s="154"/>
      <c r="T98" s="63"/>
      <c r="U98" s="63"/>
      <c r="V98" s="115"/>
      <c r="W98" s="115"/>
      <c r="X98" s="115"/>
      <c r="Y98" s="115"/>
      <c r="Z98" s="115"/>
    </row>
    <row r="99" spans="1:26" ht="20.100000000000001" customHeight="1" x14ac:dyDescent="0.25">
      <c r="A99" s="105"/>
      <c r="B99" s="101"/>
      <c r="C99" s="101"/>
      <c r="D99" s="147"/>
      <c r="E99" s="116"/>
      <c r="F99" s="148"/>
      <c r="G99" s="149"/>
      <c r="H99" s="229"/>
      <c r="I99" s="229"/>
      <c r="J99" s="150"/>
      <c r="K99" s="115"/>
      <c r="L99" s="116"/>
      <c r="M99" s="115"/>
      <c r="N99" s="115"/>
      <c r="O99" s="116"/>
      <c r="P99" s="63"/>
      <c r="Q99" s="63"/>
      <c r="R99" s="115"/>
      <c r="S99" s="154"/>
      <c r="T99" s="63"/>
      <c r="U99" s="63"/>
      <c r="V99" s="115"/>
      <c r="W99" s="115"/>
      <c r="X99" s="115"/>
      <c r="Y99" s="115"/>
      <c r="Z99" s="115"/>
    </row>
    <row r="100" spans="1:26" ht="20.100000000000001" customHeight="1" x14ac:dyDescent="0.25">
      <c r="A100" s="105"/>
      <c r="B100" s="101"/>
      <c r="C100" s="101"/>
      <c r="D100" s="147"/>
      <c r="E100" s="116"/>
      <c r="F100" s="148"/>
      <c r="G100" s="149"/>
      <c r="H100" s="229"/>
      <c r="I100" s="229"/>
      <c r="J100" s="150"/>
      <c r="K100" s="115"/>
      <c r="L100" s="116"/>
      <c r="M100" s="115"/>
      <c r="N100" s="115"/>
      <c r="O100" s="116"/>
      <c r="P100" s="63"/>
      <c r="Q100" s="63"/>
      <c r="R100" s="115"/>
      <c r="S100" s="154"/>
      <c r="T100" s="63"/>
      <c r="U100" s="63"/>
      <c r="V100" s="115"/>
      <c r="W100" s="115"/>
      <c r="X100" s="115"/>
      <c r="Y100" s="115"/>
      <c r="Z100" s="115"/>
    </row>
    <row r="101" spans="1:26" ht="20.100000000000001" customHeight="1" x14ac:dyDescent="0.25">
      <c r="A101" s="105"/>
      <c r="B101" s="101"/>
      <c r="C101" s="101"/>
      <c r="D101" s="147"/>
      <c r="E101" s="116"/>
      <c r="F101" s="148"/>
      <c r="G101" s="149"/>
      <c r="H101" s="229"/>
      <c r="I101" s="229"/>
      <c r="J101" s="150"/>
      <c r="K101" s="115"/>
      <c r="L101" s="116"/>
      <c r="M101" s="115"/>
      <c r="N101" s="115"/>
      <c r="O101" s="116"/>
      <c r="P101" s="63"/>
      <c r="Q101" s="63"/>
      <c r="R101" s="115"/>
      <c r="S101" s="154"/>
      <c r="T101" s="63"/>
      <c r="U101" s="63"/>
      <c r="V101" s="115"/>
      <c r="W101" s="115"/>
      <c r="X101" s="115"/>
      <c r="Y101" s="115"/>
      <c r="Z101" s="115"/>
    </row>
    <row r="102" spans="1:26" ht="20.100000000000001" customHeight="1" x14ac:dyDescent="0.25">
      <c r="A102" s="105"/>
      <c r="B102" s="101"/>
      <c r="C102" s="101"/>
      <c r="D102" s="147"/>
      <c r="E102" s="116"/>
      <c r="F102" s="148"/>
      <c r="G102" s="149"/>
      <c r="H102" s="229"/>
      <c r="I102" s="229"/>
      <c r="J102" s="150"/>
      <c r="K102" s="115"/>
      <c r="L102" s="116"/>
      <c r="M102" s="115"/>
      <c r="N102" s="115"/>
      <c r="O102" s="116"/>
      <c r="P102" s="63"/>
      <c r="Q102" s="63"/>
      <c r="R102" s="115"/>
      <c r="S102" s="154"/>
      <c r="T102" s="63"/>
      <c r="U102" s="63"/>
      <c r="V102" s="115"/>
      <c r="W102" s="115"/>
      <c r="X102" s="115"/>
      <c r="Y102" s="115"/>
      <c r="Z102" s="115"/>
    </row>
    <row r="103" spans="1:26" ht="20.100000000000001" customHeight="1" x14ac:dyDescent="0.25">
      <c r="A103" s="105"/>
      <c r="B103" s="101"/>
      <c r="C103" s="101"/>
      <c r="D103" s="147"/>
      <c r="E103" s="116"/>
      <c r="F103" s="148"/>
      <c r="G103" s="149"/>
      <c r="H103" s="229"/>
      <c r="I103" s="229"/>
      <c r="J103" s="150"/>
      <c r="K103" s="115"/>
      <c r="L103" s="116"/>
      <c r="M103" s="115"/>
      <c r="N103" s="115"/>
      <c r="O103" s="116"/>
      <c r="P103" s="63"/>
      <c r="Q103" s="63"/>
      <c r="R103" s="115"/>
      <c r="S103" s="154"/>
      <c r="T103" s="63"/>
      <c r="U103" s="63"/>
      <c r="V103" s="115"/>
      <c r="W103" s="115"/>
      <c r="X103" s="115"/>
      <c r="Y103" s="115"/>
      <c r="Z103" s="115"/>
    </row>
    <row r="104" spans="1:26" ht="20.100000000000001" customHeight="1" x14ac:dyDescent="0.25">
      <c r="A104" s="105"/>
      <c r="B104" s="101"/>
      <c r="C104" s="101"/>
      <c r="D104" s="147"/>
      <c r="E104" s="116"/>
      <c r="F104" s="148"/>
      <c r="G104" s="149"/>
      <c r="H104" s="229"/>
      <c r="I104" s="229"/>
      <c r="J104" s="150"/>
      <c r="K104" s="115"/>
      <c r="L104" s="116"/>
      <c r="M104" s="115"/>
      <c r="N104" s="115"/>
      <c r="O104" s="116"/>
      <c r="P104" s="63"/>
      <c r="Q104" s="63"/>
      <c r="R104" s="115"/>
      <c r="S104" s="154"/>
      <c r="T104" s="63"/>
      <c r="U104" s="63"/>
      <c r="V104" s="115"/>
      <c r="W104" s="115"/>
      <c r="X104" s="115"/>
      <c r="Y104" s="115"/>
      <c r="Z104" s="115"/>
    </row>
    <row r="105" spans="1:26" ht="20.100000000000001" customHeight="1" x14ac:dyDescent="0.25">
      <c r="A105" s="105"/>
      <c r="B105" s="101"/>
      <c r="C105" s="101"/>
      <c r="D105" s="147"/>
      <c r="E105" s="116"/>
      <c r="F105" s="148"/>
      <c r="G105" s="149"/>
      <c r="H105" s="229"/>
      <c r="I105" s="229"/>
      <c r="J105" s="150"/>
      <c r="K105" s="115"/>
      <c r="L105" s="116"/>
      <c r="M105" s="115"/>
      <c r="N105" s="115"/>
      <c r="O105" s="116"/>
      <c r="P105" s="63"/>
      <c r="Q105" s="63"/>
      <c r="R105" s="115"/>
      <c r="S105" s="154"/>
      <c r="T105" s="63"/>
      <c r="U105" s="63"/>
      <c r="V105" s="115"/>
      <c r="W105" s="115"/>
      <c r="X105" s="115"/>
      <c r="Y105" s="115"/>
      <c r="Z105" s="115"/>
    </row>
    <row r="106" spans="1:26" ht="20.100000000000001" customHeight="1" x14ac:dyDescent="0.25">
      <c r="A106" s="105"/>
      <c r="B106" s="101"/>
      <c r="C106" s="101"/>
      <c r="D106" s="147"/>
      <c r="E106" s="116"/>
      <c r="F106" s="148"/>
      <c r="G106" s="149"/>
      <c r="H106" s="229"/>
      <c r="I106" s="229"/>
      <c r="J106" s="150"/>
      <c r="K106" s="115"/>
      <c r="L106" s="116"/>
      <c r="M106" s="115"/>
      <c r="N106" s="115"/>
      <c r="O106" s="116"/>
      <c r="P106" s="63"/>
      <c r="Q106" s="63"/>
      <c r="R106" s="115"/>
      <c r="S106" s="154"/>
      <c r="T106" s="63"/>
      <c r="U106" s="63"/>
      <c r="V106" s="115"/>
      <c r="W106" s="115"/>
      <c r="X106" s="115"/>
      <c r="Y106" s="115"/>
      <c r="Z106" s="115"/>
    </row>
    <row r="107" spans="1:26" ht="20.100000000000001" customHeight="1" x14ac:dyDescent="0.25">
      <c r="A107" s="105"/>
      <c r="B107" s="101"/>
      <c r="C107" s="101"/>
      <c r="D107" s="147"/>
      <c r="E107" s="116"/>
      <c r="F107" s="148"/>
      <c r="G107" s="149"/>
      <c r="H107" s="229"/>
      <c r="I107" s="229"/>
      <c r="J107" s="150"/>
      <c r="K107" s="115"/>
      <c r="L107" s="116"/>
      <c r="M107" s="115"/>
      <c r="N107" s="115"/>
      <c r="O107" s="116"/>
      <c r="P107" s="63"/>
      <c r="Q107" s="63"/>
      <c r="R107" s="115"/>
      <c r="S107" s="154"/>
      <c r="T107" s="63"/>
      <c r="U107" s="63"/>
      <c r="V107" s="115"/>
      <c r="W107" s="115"/>
      <c r="X107" s="115"/>
      <c r="Y107" s="115"/>
      <c r="Z107" s="115"/>
    </row>
    <row r="108" spans="1:26" ht="20.100000000000001" customHeight="1" x14ac:dyDescent="0.25">
      <c r="A108" s="105"/>
      <c r="B108" s="101"/>
      <c r="C108" s="101"/>
      <c r="D108" s="147"/>
      <c r="E108" s="116"/>
      <c r="F108" s="148"/>
      <c r="G108" s="149"/>
      <c r="H108" s="229"/>
      <c r="I108" s="229"/>
      <c r="J108" s="150"/>
      <c r="K108" s="115"/>
      <c r="L108" s="116"/>
      <c r="M108" s="115"/>
      <c r="N108" s="115"/>
      <c r="O108" s="116"/>
      <c r="P108" s="63"/>
      <c r="Q108" s="63"/>
      <c r="R108" s="115"/>
      <c r="S108" s="154"/>
      <c r="T108" s="63"/>
      <c r="U108" s="63"/>
      <c r="V108" s="115"/>
      <c r="W108" s="115"/>
      <c r="X108" s="115"/>
      <c r="Y108" s="115"/>
      <c r="Z108" s="115"/>
    </row>
    <row r="109" spans="1:26" ht="20.100000000000001" customHeight="1" x14ac:dyDescent="0.25">
      <c r="A109" s="105"/>
      <c r="B109" s="101"/>
      <c r="C109" s="101"/>
      <c r="D109" s="147"/>
      <c r="E109" s="116"/>
      <c r="F109" s="148"/>
      <c r="G109" s="149"/>
      <c r="H109" s="229"/>
      <c r="I109" s="229"/>
      <c r="J109" s="150"/>
      <c r="K109" s="115"/>
      <c r="L109" s="116"/>
      <c r="M109" s="115"/>
      <c r="N109" s="115"/>
      <c r="O109" s="116"/>
      <c r="P109" s="63"/>
      <c r="Q109" s="63"/>
      <c r="R109" s="115"/>
      <c r="S109" s="154"/>
      <c r="T109" s="63"/>
      <c r="U109" s="63"/>
      <c r="V109" s="115"/>
      <c r="W109" s="115"/>
      <c r="X109" s="115"/>
      <c r="Y109" s="115"/>
      <c r="Z109" s="115"/>
    </row>
    <row r="110" spans="1:26" ht="20.100000000000001" customHeight="1" x14ac:dyDescent="0.25">
      <c r="A110" s="105"/>
      <c r="B110" s="101"/>
      <c r="C110" s="101"/>
      <c r="D110" s="147"/>
      <c r="E110" s="116"/>
      <c r="F110" s="148"/>
      <c r="G110" s="149"/>
      <c r="H110" s="229"/>
      <c r="I110" s="229"/>
      <c r="J110" s="150"/>
      <c r="K110" s="115"/>
      <c r="L110" s="116"/>
      <c r="M110" s="115"/>
      <c r="N110" s="115"/>
      <c r="O110" s="116"/>
      <c r="P110" s="63"/>
      <c r="Q110" s="63"/>
      <c r="R110" s="115"/>
      <c r="S110" s="154"/>
      <c r="T110" s="63"/>
      <c r="U110" s="63"/>
      <c r="V110" s="115"/>
      <c r="W110" s="115"/>
      <c r="X110" s="115"/>
      <c r="Y110" s="115"/>
      <c r="Z110" s="115"/>
    </row>
    <row r="111" spans="1:26" ht="20.100000000000001" customHeight="1" x14ac:dyDescent="0.25">
      <c r="A111" s="105"/>
      <c r="B111" s="101"/>
      <c r="C111" s="101"/>
      <c r="D111" s="147"/>
      <c r="E111" s="116"/>
      <c r="F111" s="148"/>
      <c r="G111" s="149"/>
      <c r="H111" s="229"/>
      <c r="I111" s="229"/>
      <c r="J111" s="150"/>
      <c r="K111" s="115"/>
      <c r="L111" s="116"/>
      <c r="M111" s="115"/>
      <c r="N111" s="115"/>
      <c r="O111" s="116"/>
      <c r="P111" s="63"/>
      <c r="Q111" s="63"/>
      <c r="R111" s="115"/>
      <c r="S111" s="154"/>
      <c r="T111" s="63"/>
      <c r="U111" s="63"/>
      <c r="V111" s="115"/>
      <c r="W111" s="115"/>
      <c r="X111" s="115"/>
      <c r="Y111" s="115"/>
      <c r="Z111" s="115"/>
    </row>
    <row r="112" spans="1:26" s="12" customFormat="1" ht="20.100000000000001" customHeight="1" x14ac:dyDescent="0.25">
      <c r="A112" s="151"/>
      <c r="B112" s="101"/>
      <c r="C112" s="101"/>
      <c r="D112" s="152"/>
      <c r="E112" s="116"/>
      <c r="F112" s="148"/>
      <c r="G112" s="149"/>
      <c r="H112" s="229"/>
      <c r="I112" s="229"/>
      <c r="J112" s="153"/>
      <c r="K112" s="63"/>
      <c r="L112" s="116"/>
      <c r="M112" s="63"/>
      <c r="N112" s="63"/>
      <c r="O112" s="116"/>
      <c r="P112" s="63"/>
      <c r="Q112" s="63"/>
      <c r="R112" s="63"/>
      <c r="S112" s="154"/>
      <c r="T112" s="63"/>
      <c r="U112" s="63"/>
      <c r="V112" s="63"/>
      <c r="W112" s="63"/>
      <c r="X112" s="63"/>
      <c r="Y112" s="63"/>
      <c r="Z112" s="63"/>
    </row>
    <row r="113" spans="1:26" ht="20.100000000000001" customHeight="1" x14ac:dyDescent="0.25">
      <c r="A113" s="105"/>
      <c r="B113" s="101"/>
      <c r="C113" s="101"/>
      <c r="D113" s="147"/>
      <c r="E113" s="116"/>
      <c r="F113" s="148"/>
      <c r="G113" s="149"/>
      <c r="H113" s="229"/>
      <c r="I113" s="229"/>
      <c r="J113" s="150"/>
      <c r="K113" s="115"/>
      <c r="L113" s="116"/>
      <c r="M113" s="115"/>
      <c r="N113" s="115"/>
      <c r="O113" s="116"/>
      <c r="P113" s="63"/>
      <c r="Q113" s="63"/>
      <c r="R113" s="115"/>
      <c r="S113" s="154"/>
      <c r="T113" s="63"/>
      <c r="U113" s="63"/>
      <c r="V113" s="115"/>
      <c r="W113" s="115"/>
      <c r="X113" s="115"/>
      <c r="Y113" s="115"/>
      <c r="Z113" s="115"/>
    </row>
    <row r="114" spans="1:26" ht="20.100000000000001" customHeight="1" x14ac:dyDescent="0.25">
      <c r="A114" s="105"/>
      <c r="B114" s="101"/>
      <c r="C114" s="101"/>
      <c r="D114" s="147"/>
      <c r="E114" s="116"/>
      <c r="F114" s="148"/>
      <c r="G114" s="149"/>
      <c r="H114" s="229"/>
      <c r="I114" s="229"/>
      <c r="J114" s="150"/>
      <c r="K114" s="115"/>
      <c r="L114" s="116"/>
      <c r="M114" s="115"/>
      <c r="N114" s="115"/>
      <c r="O114" s="116"/>
      <c r="P114" s="63"/>
      <c r="Q114" s="63"/>
      <c r="R114" s="115"/>
      <c r="S114" s="154"/>
      <c r="T114" s="63"/>
      <c r="U114" s="63"/>
      <c r="V114" s="115"/>
      <c r="W114" s="115"/>
      <c r="X114" s="115"/>
      <c r="Y114" s="115"/>
      <c r="Z114" s="115"/>
    </row>
    <row r="115" spans="1:26" ht="20.100000000000001" customHeight="1" x14ac:dyDescent="0.25">
      <c r="A115" s="105"/>
      <c r="B115" s="101"/>
      <c r="C115" s="101"/>
      <c r="D115" s="147"/>
      <c r="E115" s="116"/>
      <c r="F115" s="148"/>
      <c r="G115" s="149"/>
      <c r="H115" s="229"/>
      <c r="I115" s="229"/>
      <c r="J115" s="150"/>
      <c r="K115" s="115"/>
      <c r="L115" s="116"/>
      <c r="M115" s="115"/>
      <c r="N115" s="115"/>
      <c r="O115" s="116"/>
      <c r="P115" s="63"/>
      <c r="Q115" s="63"/>
      <c r="R115" s="115"/>
      <c r="S115" s="154"/>
      <c r="T115" s="63"/>
      <c r="U115" s="63"/>
      <c r="V115" s="115"/>
      <c r="W115" s="115"/>
      <c r="X115" s="115"/>
      <c r="Y115" s="115"/>
      <c r="Z115" s="115"/>
    </row>
    <row r="116" spans="1:26" ht="20.100000000000001" customHeight="1" x14ac:dyDescent="0.25">
      <c r="A116" s="105"/>
      <c r="B116" s="101"/>
      <c r="C116" s="101"/>
      <c r="D116" s="147"/>
      <c r="E116" s="116"/>
      <c r="F116" s="148"/>
      <c r="G116" s="149"/>
      <c r="H116" s="229"/>
      <c r="I116" s="229"/>
      <c r="J116" s="150"/>
      <c r="K116" s="115"/>
      <c r="L116" s="116"/>
      <c r="M116" s="115"/>
      <c r="N116" s="115"/>
      <c r="O116" s="116"/>
      <c r="P116" s="63"/>
      <c r="Q116" s="63"/>
      <c r="R116" s="115"/>
      <c r="S116" s="154"/>
      <c r="T116" s="63"/>
      <c r="U116" s="63"/>
      <c r="V116" s="115"/>
      <c r="W116" s="115"/>
      <c r="X116" s="115"/>
      <c r="Y116" s="115"/>
      <c r="Z116" s="115"/>
    </row>
    <row r="117" spans="1:26" ht="20.100000000000001" customHeight="1" x14ac:dyDescent="0.25">
      <c r="A117" s="105"/>
      <c r="B117" s="101"/>
      <c r="C117" s="101"/>
      <c r="D117" s="147"/>
      <c r="E117" s="116"/>
      <c r="F117" s="148"/>
      <c r="G117" s="149"/>
      <c r="H117" s="229"/>
      <c r="I117" s="229"/>
      <c r="J117" s="150"/>
      <c r="K117" s="115"/>
      <c r="L117" s="116"/>
      <c r="M117" s="115"/>
      <c r="N117" s="115"/>
      <c r="O117" s="116"/>
      <c r="P117" s="63"/>
      <c r="Q117" s="63"/>
      <c r="R117" s="115"/>
      <c r="S117" s="154"/>
      <c r="T117" s="63"/>
      <c r="U117" s="63"/>
      <c r="V117" s="115"/>
      <c r="W117" s="115"/>
      <c r="X117" s="115"/>
      <c r="Y117" s="115"/>
      <c r="Z117" s="115"/>
    </row>
    <row r="118" spans="1:26" ht="20.100000000000001" customHeight="1" x14ac:dyDescent="0.25">
      <c r="A118" s="105"/>
      <c r="B118" s="101"/>
      <c r="C118" s="101"/>
      <c r="D118" s="147"/>
      <c r="E118" s="116"/>
      <c r="F118" s="148"/>
      <c r="G118" s="149"/>
      <c r="H118" s="229"/>
      <c r="I118" s="229"/>
      <c r="J118" s="150"/>
      <c r="K118" s="115"/>
      <c r="L118" s="116"/>
      <c r="M118" s="115"/>
      <c r="N118" s="115"/>
      <c r="O118" s="116"/>
      <c r="P118" s="63"/>
      <c r="Q118" s="63"/>
      <c r="R118" s="115"/>
      <c r="S118" s="154"/>
      <c r="T118" s="63"/>
      <c r="U118" s="63"/>
      <c r="V118" s="115"/>
      <c r="W118" s="115"/>
      <c r="X118" s="115"/>
      <c r="Y118" s="115"/>
      <c r="Z118" s="115"/>
    </row>
    <row r="119" spans="1:26" ht="20.100000000000001" customHeight="1" x14ac:dyDescent="0.25">
      <c r="A119" s="105"/>
      <c r="B119" s="101"/>
      <c r="C119" s="101"/>
      <c r="D119" s="147"/>
      <c r="E119" s="116"/>
      <c r="F119" s="148"/>
      <c r="G119" s="149"/>
      <c r="H119" s="229"/>
      <c r="I119" s="229"/>
      <c r="J119" s="150"/>
      <c r="K119" s="115"/>
      <c r="L119" s="116"/>
      <c r="M119" s="115"/>
      <c r="N119" s="115"/>
      <c r="O119" s="116"/>
      <c r="P119" s="63"/>
      <c r="Q119" s="63"/>
      <c r="R119" s="115"/>
      <c r="S119" s="154"/>
      <c r="T119" s="63"/>
      <c r="U119" s="63"/>
      <c r="V119" s="115"/>
      <c r="W119" s="115"/>
      <c r="X119" s="115"/>
      <c r="Y119" s="115"/>
      <c r="Z119" s="115"/>
    </row>
    <row r="120" spans="1:26" ht="20.100000000000001" customHeight="1" x14ac:dyDescent="0.25">
      <c r="A120" s="105"/>
      <c r="B120" s="101"/>
      <c r="C120" s="101"/>
      <c r="D120" s="140"/>
      <c r="E120" s="141"/>
      <c r="F120" s="142"/>
      <c r="G120" s="143"/>
      <c r="H120" s="228"/>
      <c r="I120" s="228"/>
      <c r="J120" s="144"/>
      <c r="K120" s="145"/>
      <c r="L120" s="141"/>
      <c r="M120" s="145"/>
      <c r="N120" s="145"/>
      <c r="O120" s="141"/>
      <c r="P120" s="146"/>
      <c r="Q120" s="146"/>
      <c r="R120" s="145"/>
      <c r="S120" s="158"/>
      <c r="T120" s="146"/>
      <c r="U120" s="146"/>
      <c r="V120" s="145"/>
      <c r="W120" s="145"/>
      <c r="X120" s="145"/>
      <c r="Y120" s="145"/>
      <c r="Z120" s="145"/>
    </row>
    <row r="121" spans="1:26" ht="20.100000000000001" customHeight="1" x14ac:dyDescent="0.25">
      <c r="A121" s="105"/>
      <c r="B121" s="101"/>
      <c r="C121" s="101"/>
      <c r="D121" s="140"/>
      <c r="E121" s="141"/>
      <c r="F121" s="142"/>
      <c r="G121" s="143"/>
      <c r="H121" s="228"/>
      <c r="I121" s="228"/>
      <c r="J121" s="144"/>
      <c r="K121" s="145"/>
      <c r="L121" s="141"/>
      <c r="M121" s="145"/>
      <c r="N121" s="145"/>
      <c r="O121" s="141"/>
      <c r="P121" s="146"/>
      <c r="Q121" s="146"/>
      <c r="R121" s="145"/>
      <c r="S121" s="158"/>
      <c r="T121" s="146"/>
      <c r="U121" s="146"/>
      <c r="V121" s="145"/>
      <c r="W121" s="145"/>
      <c r="X121" s="145"/>
      <c r="Y121" s="145"/>
      <c r="Z121" s="145"/>
    </row>
    <row r="122" spans="1:26" ht="20.100000000000001" customHeight="1" x14ac:dyDescent="0.25">
      <c r="A122" s="105"/>
      <c r="B122" s="101"/>
      <c r="C122" s="101"/>
      <c r="D122" s="140"/>
      <c r="E122" s="141"/>
      <c r="F122" s="142"/>
      <c r="G122" s="143"/>
      <c r="H122" s="228"/>
      <c r="I122" s="228"/>
      <c r="J122" s="144"/>
      <c r="K122" s="145"/>
      <c r="L122" s="141"/>
      <c r="M122" s="145"/>
      <c r="N122" s="145"/>
      <c r="O122" s="141"/>
      <c r="P122" s="146"/>
      <c r="Q122" s="146"/>
      <c r="R122" s="145"/>
      <c r="S122" s="158"/>
      <c r="T122" s="146"/>
      <c r="U122" s="146"/>
      <c r="V122" s="145"/>
      <c r="W122" s="145"/>
      <c r="X122" s="145"/>
      <c r="Y122" s="145"/>
      <c r="Z122" s="145"/>
    </row>
    <row r="123" spans="1:26" ht="20.100000000000001" customHeight="1" x14ac:dyDescent="0.25">
      <c r="A123" s="105"/>
      <c r="B123" s="101"/>
      <c r="C123" s="101"/>
      <c r="D123" s="140"/>
      <c r="E123" s="141"/>
      <c r="F123" s="142"/>
      <c r="G123" s="143"/>
      <c r="H123" s="228"/>
      <c r="I123" s="228"/>
      <c r="J123" s="144"/>
      <c r="K123" s="145"/>
      <c r="L123" s="141"/>
      <c r="M123" s="145"/>
      <c r="N123" s="145"/>
      <c r="O123" s="141"/>
      <c r="P123" s="146"/>
      <c r="Q123" s="146"/>
      <c r="R123" s="145"/>
      <c r="S123" s="158"/>
      <c r="T123" s="146"/>
      <c r="U123" s="146"/>
      <c r="V123" s="145"/>
      <c r="W123" s="145"/>
      <c r="X123" s="145"/>
      <c r="Y123" s="145"/>
      <c r="Z123" s="145"/>
    </row>
    <row r="124" spans="1:26" ht="20.100000000000001" customHeight="1" x14ac:dyDescent="0.25">
      <c r="A124" s="105"/>
      <c r="B124" s="101"/>
      <c r="C124" s="101"/>
      <c r="D124" s="140"/>
      <c r="E124" s="141"/>
      <c r="F124" s="142"/>
      <c r="G124" s="143"/>
      <c r="H124" s="228"/>
      <c r="I124" s="228"/>
      <c r="J124" s="144"/>
      <c r="K124" s="145"/>
      <c r="L124" s="141"/>
      <c r="M124" s="145"/>
      <c r="N124" s="145"/>
      <c r="O124" s="141"/>
      <c r="P124" s="146"/>
      <c r="Q124" s="146"/>
      <c r="R124" s="145"/>
      <c r="S124" s="158"/>
      <c r="T124" s="146"/>
      <c r="U124" s="146"/>
      <c r="V124" s="145"/>
      <c r="W124" s="145"/>
      <c r="X124" s="145"/>
      <c r="Y124" s="145"/>
      <c r="Z124" s="145"/>
    </row>
    <row r="125" spans="1:26" ht="20.100000000000001" customHeight="1" x14ac:dyDescent="0.25">
      <c r="A125" s="105"/>
      <c r="B125" s="101"/>
      <c r="C125" s="101"/>
      <c r="D125" s="140"/>
      <c r="E125" s="141"/>
      <c r="F125" s="142"/>
      <c r="G125" s="143"/>
      <c r="H125" s="228"/>
      <c r="I125" s="228"/>
      <c r="J125" s="144"/>
      <c r="K125" s="145"/>
      <c r="L125" s="141"/>
      <c r="M125" s="145"/>
      <c r="N125" s="145"/>
      <c r="O125" s="141"/>
      <c r="P125" s="146"/>
      <c r="Q125" s="146"/>
      <c r="R125" s="145"/>
      <c r="S125" s="158"/>
      <c r="T125" s="146"/>
      <c r="U125" s="146"/>
      <c r="V125" s="145"/>
      <c r="W125" s="145"/>
      <c r="X125" s="145"/>
      <c r="Y125" s="145"/>
      <c r="Z125" s="145"/>
    </row>
    <row r="126" spans="1:26" ht="20.100000000000001" customHeight="1" x14ac:dyDescent="0.25">
      <c r="A126" s="105"/>
      <c r="B126" s="101"/>
      <c r="C126" s="101"/>
      <c r="D126" s="140"/>
      <c r="E126" s="141"/>
      <c r="F126" s="142"/>
      <c r="G126" s="143"/>
      <c r="H126" s="228"/>
      <c r="I126" s="228"/>
      <c r="J126" s="144"/>
      <c r="K126" s="145"/>
      <c r="L126" s="141"/>
      <c r="M126" s="145"/>
      <c r="N126" s="145"/>
      <c r="O126" s="141"/>
      <c r="P126" s="146"/>
      <c r="Q126" s="146"/>
      <c r="R126" s="145"/>
      <c r="S126" s="158"/>
      <c r="T126" s="146"/>
      <c r="U126" s="146"/>
      <c r="V126" s="145"/>
      <c r="W126" s="145"/>
      <c r="X126" s="145"/>
      <c r="Y126" s="145"/>
      <c r="Z126" s="145"/>
    </row>
    <row r="127" spans="1:26" ht="20.100000000000001" customHeight="1" x14ac:dyDescent="0.25">
      <c r="A127" s="105"/>
      <c r="B127" s="101"/>
      <c r="C127" s="101"/>
      <c r="D127" s="140"/>
      <c r="E127" s="141"/>
      <c r="F127" s="142"/>
      <c r="G127" s="143"/>
      <c r="H127" s="228"/>
      <c r="I127" s="228"/>
      <c r="J127" s="144"/>
      <c r="K127" s="145"/>
      <c r="L127" s="141"/>
      <c r="M127" s="145"/>
      <c r="N127" s="145"/>
      <c r="O127" s="141"/>
      <c r="P127" s="146"/>
      <c r="Q127" s="146"/>
      <c r="R127" s="145"/>
      <c r="S127" s="158"/>
      <c r="T127" s="146"/>
      <c r="U127" s="146"/>
      <c r="V127" s="145"/>
      <c r="W127" s="145"/>
      <c r="X127" s="145"/>
      <c r="Y127" s="145"/>
      <c r="Z127" s="145"/>
    </row>
    <row r="128" spans="1:26" ht="20.100000000000001" customHeight="1" x14ac:dyDescent="0.25">
      <c r="A128" s="105"/>
      <c r="B128" s="101"/>
      <c r="C128" s="101"/>
      <c r="D128" s="140"/>
      <c r="E128" s="141"/>
      <c r="F128" s="142"/>
      <c r="G128" s="143"/>
      <c r="H128" s="228"/>
      <c r="I128" s="228"/>
      <c r="J128" s="144"/>
      <c r="K128" s="145"/>
      <c r="L128" s="141"/>
      <c r="M128" s="145"/>
      <c r="N128" s="145"/>
      <c r="O128" s="141"/>
      <c r="P128" s="146"/>
      <c r="Q128" s="146"/>
      <c r="R128" s="145"/>
      <c r="S128" s="158"/>
      <c r="T128" s="146"/>
      <c r="U128" s="146"/>
      <c r="V128" s="145"/>
      <c r="W128" s="145"/>
      <c r="X128" s="145"/>
      <c r="Y128" s="145"/>
      <c r="Z128" s="145"/>
    </row>
    <row r="129" spans="1:26" ht="20.100000000000001" customHeight="1" x14ac:dyDescent="0.25">
      <c r="A129" s="105"/>
      <c r="B129" s="101"/>
      <c r="C129" s="101"/>
      <c r="D129" s="140"/>
      <c r="E129" s="141"/>
      <c r="F129" s="142"/>
      <c r="G129" s="143"/>
      <c r="H129" s="228"/>
      <c r="I129" s="228"/>
      <c r="J129" s="144"/>
      <c r="K129" s="145"/>
      <c r="L129" s="141"/>
      <c r="M129" s="145"/>
      <c r="N129" s="145"/>
      <c r="O129" s="141"/>
      <c r="P129" s="146"/>
      <c r="Q129" s="146"/>
      <c r="R129" s="145"/>
      <c r="S129" s="158"/>
      <c r="T129" s="146"/>
      <c r="U129" s="146"/>
      <c r="V129" s="145"/>
      <c r="W129" s="145"/>
      <c r="X129" s="145"/>
      <c r="Y129" s="145"/>
      <c r="Z129" s="145"/>
    </row>
    <row r="130" spans="1:26" ht="20.100000000000001" customHeight="1" x14ac:dyDescent="0.25">
      <c r="A130" s="105"/>
      <c r="B130" s="101"/>
      <c r="C130" s="101"/>
      <c r="D130" s="140"/>
      <c r="E130" s="141"/>
      <c r="F130" s="142"/>
      <c r="G130" s="143"/>
      <c r="H130" s="228"/>
      <c r="I130" s="228"/>
      <c r="J130" s="144"/>
      <c r="K130" s="145"/>
      <c r="L130" s="141"/>
      <c r="M130" s="145"/>
      <c r="N130" s="145"/>
      <c r="O130" s="141"/>
      <c r="P130" s="146"/>
      <c r="Q130" s="146"/>
      <c r="R130" s="145"/>
      <c r="S130" s="158"/>
      <c r="T130" s="146"/>
      <c r="U130" s="146"/>
      <c r="V130" s="145"/>
      <c r="W130" s="145"/>
      <c r="X130" s="145"/>
      <c r="Y130" s="145"/>
      <c r="Z130" s="145"/>
    </row>
    <row r="131" spans="1:26" ht="20.100000000000001" customHeight="1" x14ac:dyDescent="0.25">
      <c r="A131" s="105"/>
      <c r="B131" s="101"/>
      <c r="C131" s="101"/>
      <c r="D131" s="140"/>
      <c r="E131" s="141"/>
      <c r="F131" s="142"/>
      <c r="G131" s="143"/>
      <c r="H131" s="228"/>
      <c r="I131" s="228"/>
      <c r="J131" s="144"/>
      <c r="K131" s="145"/>
      <c r="L131" s="141"/>
      <c r="M131" s="145"/>
      <c r="N131" s="145"/>
      <c r="O131" s="141"/>
      <c r="P131" s="146"/>
      <c r="Q131" s="146"/>
      <c r="R131" s="145"/>
      <c r="S131" s="158"/>
      <c r="T131" s="146"/>
      <c r="U131" s="146"/>
      <c r="V131" s="145"/>
      <c r="W131" s="145"/>
      <c r="X131" s="145"/>
      <c r="Y131" s="145"/>
      <c r="Z131" s="145"/>
    </row>
    <row r="132" spans="1:26" ht="20.100000000000001" customHeight="1" x14ac:dyDescent="0.25">
      <c r="A132" s="105"/>
      <c r="B132" s="101"/>
      <c r="C132" s="101"/>
      <c r="D132" s="140"/>
      <c r="E132" s="141"/>
      <c r="F132" s="142"/>
      <c r="G132" s="143"/>
      <c r="H132" s="228"/>
      <c r="I132" s="228"/>
      <c r="J132" s="144"/>
      <c r="K132" s="145"/>
      <c r="L132" s="141"/>
      <c r="M132" s="145"/>
      <c r="N132" s="145"/>
      <c r="O132" s="141"/>
      <c r="P132" s="146"/>
      <c r="Q132" s="146"/>
      <c r="R132" s="145"/>
      <c r="S132" s="158"/>
      <c r="T132" s="146"/>
      <c r="U132" s="146"/>
      <c r="V132" s="145"/>
      <c r="W132" s="145"/>
      <c r="X132" s="145"/>
      <c r="Y132" s="145"/>
      <c r="Z132" s="145"/>
    </row>
    <row r="133" spans="1:26" ht="20.100000000000001" customHeight="1" x14ac:dyDescent="0.25">
      <c r="A133" s="105"/>
      <c r="B133" s="101"/>
      <c r="C133" s="101"/>
      <c r="D133" s="140"/>
      <c r="E133" s="141"/>
      <c r="F133" s="142"/>
      <c r="G133" s="143"/>
      <c r="H133" s="228"/>
      <c r="I133" s="228"/>
      <c r="J133" s="144"/>
      <c r="K133" s="145"/>
      <c r="L133" s="141"/>
      <c r="M133" s="145"/>
      <c r="N133" s="145"/>
      <c r="O133" s="141"/>
      <c r="P133" s="146"/>
      <c r="Q133" s="146"/>
      <c r="R133" s="145"/>
      <c r="S133" s="158"/>
      <c r="T133" s="146"/>
      <c r="U133" s="146"/>
      <c r="V133" s="145"/>
      <c r="W133" s="145"/>
      <c r="X133" s="145"/>
      <c r="Y133" s="145"/>
      <c r="Z133" s="145"/>
    </row>
    <row r="134" spans="1:26" ht="20.100000000000001" customHeight="1" x14ac:dyDescent="0.25">
      <c r="A134" s="105"/>
      <c r="B134" s="101"/>
      <c r="C134" s="101"/>
      <c r="D134" s="140"/>
      <c r="E134" s="141"/>
      <c r="F134" s="142"/>
      <c r="G134" s="143"/>
      <c r="H134" s="228"/>
      <c r="I134" s="228"/>
      <c r="J134" s="144"/>
      <c r="K134" s="145"/>
      <c r="L134" s="141"/>
      <c r="M134" s="145"/>
      <c r="N134" s="145"/>
      <c r="O134" s="141"/>
      <c r="P134" s="146"/>
      <c r="Q134" s="146"/>
      <c r="R134" s="145"/>
      <c r="S134" s="158"/>
      <c r="T134" s="146"/>
      <c r="U134" s="146"/>
      <c r="V134" s="145"/>
      <c r="W134" s="145"/>
      <c r="X134" s="145"/>
      <c r="Y134" s="145"/>
      <c r="Z134" s="145"/>
    </row>
    <row r="135" spans="1:26" ht="20.100000000000001" customHeight="1" x14ac:dyDescent="0.25">
      <c r="A135" s="105"/>
      <c r="B135" s="101"/>
      <c r="C135" s="101"/>
      <c r="D135" s="140"/>
      <c r="E135" s="141"/>
      <c r="F135" s="142"/>
      <c r="G135" s="143"/>
      <c r="H135" s="228"/>
      <c r="I135" s="228"/>
      <c r="J135" s="144"/>
      <c r="K135" s="145"/>
      <c r="L135" s="141"/>
      <c r="M135" s="145"/>
      <c r="N135" s="145"/>
      <c r="O135" s="141"/>
      <c r="P135" s="146"/>
      <c r="Q135" s="146"/>
      <c r="R135" s="145"/>
      <c r="S135" s="158"/>
      <c r="T135" s="146"/>
      <c r="U135" s="146"/>
      <c r="V135" s="145"/>
      <c r="W135" s="145"/>
      <c r="X135" s="145"/>
      <c r="Y135" s="145"/>
      <c r="Z135" s="145"/>
    </row>
    <row r="136" spans="1:26" ht="20.100000000000001" customHeight="1" x14ac:dyDescent="0.25">
      <c r="A136" s="105"/>
      <c r="B136" s="101"/>
      <c r="C136" s="101"/>
      <c r="D136" s="140"/>
      <c r="E136" s="141"/>
      <c r="F136" s="142"/>
      <c r="G136" s="143"/>
      <c r="H136" s="228"/>
      <c r="I136" s="228"/>
      <c r="J136" s="144"/>
      <c r="K136" s="145"/>
      <c r="L136" s="141"/>
      <c r="M136" s="145"/>
      <c r="N136" s="145"/>
      <c r="O136" s="141"/>
      <c r="P136" s="146"/>
      <c r="Q136" s="146"/>
      <c r="R136" s="145"/>
      <c r="S136" s="158"/>
      <c r="T136" s="146"/>
      <c r="U136" s="146"/>
      <c r="V136" s="145"/>
      <c r="W136" s="145"/>
      <c r="X136" s="145"/>
      <c r="Y136" s="145"/>
      <c r="Z136" s="145"/>
    </row>
    <row r="137" spans="1:26" ht="20.100000000000001" customHeight="1" x14ac:dyDescent="0.25">
      <c r="A137" s="105"/>
      <c r="B137" s="101"/>
      <c r="C137" s="101"/>
      <c r="D137" s="140"/>
      <c r="E137" s="141"/>
      <c r="F137" s="142"/>
      <c r="G137" s="143"/>
      <c r="H137" s="228"/>
      <c r="I137" s="228"/>
      <c r="J137" s="144"/>
      <c r="K137" s="145"/>
      <c r="L137" s="141"/>
      <c r="M137" s="145"/>
      <c r="N137" s="145"/>
      <c r="O137" s="141"/>
      <c r="P137" s="146"/>
      <c r="Q137" s="146"/>
      <c r="R137" s="145"/>
      <c r="S137" s="158"/>
      <c r="T137" s="146"/>
      <c r="U137" s="146"/>
      <c r="V137" s="145"/>
      <c r="W137" s="145"/>
      <c r="X137" s="145"/>
      <c r="Y137" s="145"/>
      <c r="Z137" s="145"/>
    </row>
    <row r="138" spans="1:26" ht="20.100000000000001" customHeight="1" x14ac:dyDescent="0.25">
      <c r="A138" s="105"/>
      <c r="B138" s="101"/>
      <c r="C138" s="101"/>
      <c r="D138" s="140"/>
      <c r="E138" s="141"/>
      <c r="F138" s="142"/>
      <c r="G138" s="143"/>
      <c r="H138" s="228"/>
      <c r="I138" s="228"/>
      <c r="J138" s="144"/>
      <c r="K138" s="145"/>
      <c r="L138" s="141"/>
      <c r="M138" s="145"/>
      <c r="N138" s="145"/>
      <c r="O138" s="141"/>
      <c r="P138" s="146"/>
      <c r="Q138" s="146"/>
      <c r="R138" s="145"/>
      <c r="S138" s="158"/>
      <c r="T138" s="146"/>
      <c r="U138" s="146"/>
      <c r="V138" s="145"/>
      <c r="W138" s="145"/>
      <c r="X138" s="145"/>
      <c r="Y138" s="145"/>
      <c r="Z138" s="145"/>
    </row>
    <row r="139" spans="1:26" ht="20.100000000000001" customHeight="1" x14ac:dyDescent="0.25">
      <c r="A139" s="105"/>
      <c r="B139" s="101"/>
      <c r="C139" s="101"/>
      <c r="D139" s="140"/>
      <c r="E139" s="141"/>
      <c r="F139" s="142"/>
      <c r="G139" s="143"/>
      <c r="H139" s="228"/>
      <c r="I139" s="228"/>
      <c r="J139" s="144"/>
      <c r="K139" s="145"/>
      <c r="L139" s="141"/>
      <c r="M139" s="145"/>
      <c r="N139" s="145"/>
      <c r="O139" s="141"/>
      <c r="P139" s="146"/>
      <c r="Q139" s="146"/>
      <c r="R139" s="145"/>
      <c r="S139" s="158"/>
      <c r="T139" s="146"/>
      <c r="U139" s="146"/>
      <c r="V139" s="145"/>
      <c r="W139" s="145"/>
      <c r="X139" s="145"/>
      <c r="Y139" s="145"/>
      <c r="Z139" s="145"/>
    </row>
    <row r="140" spans="1:26" ht="20.100000000000001" customHeight="1" x14ac:dyDescent="0.25">
      <c r="A140" s="105"/>
      <c r="B140" s="101"/>
      <c r="C140" s="101"/>
      <c r="D140" s="140"/>
      <c r="E140" s="141"/>
      <c r="F140" s="142"/>
      <c r="G140" s="143"/>
      <c r="H140" s="228"/>
      <c r="I140" s="228"/>
      <c r="J140" s="144"/>
      <c r="K140" s="145"/>
      <c r="L140" s="141"/>
      <c r="M140" s="145"/>
      <c r="N140" s="145"/>
      <c r="O140" s="141"/>
      <c r="P140" s="146"/>
      <c r="Q140" s="146"/>
      <c r="R140" s="145"/>
      <c r="S140" s="158"/>
      <c r="T140" s="146"/>
      <c r="U140" s="146"/>
      <c r="V140" s="145"/>
      <c r="W140" s="145"/>
      <c r="X140" s="145"/>
      <c r="Y140" s="145"/>
      <c r="Z140" s="145"/>
    </row>
    <row r="141" spans="1:26" ht="20.100000000000001" customHeight="1" x14ac:dyDescent="0.25">
      <c r="A141" s="105"/>
      <c r="B141" s="101"/>
      <c r="C141" s="101"/>
      <c r="D141" s="147"/>
      <c r="E141" s="116"/>
      <c r="F141" s="148"/>
      <c r="G141" s="149"/>
      <c r="H141" s="229"/>
      <c r="I141" s="229"/>
      <c r="J141" s="150"/>
      <c r="K141" s="115"/>
      <c r="L141" s="116"/>
      <c r="M141" s="115"/>
      <c r="N141" s="115"/>
      <c r="O141" s="116"/>
      <c r="P141" s="63"/>
      <c r="Q141" s="63"/>
      <c r="R141" s="115"/>
      <c r="S141" s="154"/>
      <c r="T141" s="63"/>
      <c r="U141" s="63"/>
      <c r="V141" s="115"/>
      <c r="W141" s="115"/>
      <c r="X141" s="115"/>
      <c r="Y141" s="115"/>
      <c r="Z141" s="115"/>
    </row>
    <row r="142" spans="1:26" ht="20.100000000000001" customHeight="1" x14ac:dyDescent="0.25">
      <c r="A142" s="105"/>
      <c r="B142" s="101"/>
      <c r="C142" s="101"/>
      <c r="D142" s="147"/>
      <c r="E142" s="116"/>
      <c r="F142" s="148"/>
      <c r="G142" s="149"/>
      <c r="H142" s="229"/>
      <c r="I142" s="229"/>
      <c r="J142" s="150"/>
      <c r="K142" s="115"/>
      <c r="L142" s="116"/>
      <c r="M142" s="115"/>
      <c r="N142" s="115"/>
      <c r="O142" s="116"/>
      <c r="P142" s="63"/>
      <c r="Q142" s="63"/>
      <c r="R142" s="115"/>
      <c r="S142" s="154"/>
      <c r="T142" s="63"/>
      <c r="U142" s="63"/>
      <c r="V142" s="115"/>
      <c r="W142" s="115"/>
      <c r="X142" s="115"/>
      <c r="Y142" s="115"/>
      <c r="Z142" s="115"/>
    </row>
    <row r="143" spans="1:26" ht="20.100000000000001" customHeight="1" x14ac:dyDescent="0.25">
      <c r="A143" s="105"/>
      <c r="B143" s="101"/>
      <c r="C143" s="101"/>
      <c r="D143" s="147"/>
      <c r="E143" s="116"/>
      <c r="F143" s="148"/>
      <c r="G143" s="149"/>
      <c r="H143" s="229"/>
      <c r="I143" s="229"/>
      <c r="J143" s="150"/>
      <c r="K143" s="115"/>
      <c r="L143" s="116"/>
      <c r="M143" s="115"/>
      <c r="N143" s="115"/>
      <c r="O143" s="116"/>
      <c r="P143" s="63"/>
      <c r="Q143" s="63"/>
      <c r="R143" s="115"/>
      <c r="S143" s="154"/>
      <c r="T143" s="63"/>
      <c r="U143" s="63"/>
      <c r="V143" s="115"/>
      <c r="W143" s="115"/>
      <c r="X143" s="115"/>
      <c r="Y143" s="115"/>
      <c r="Z143" s="115"/>
    </row>
    <row r="144" spans="1:26" ht="20.100000000000001" customHeight="1" x14ac:dyDescent="0.25">
      <c r="A144" s="105"/>
      <c r="B144" s="101"/>
      <c r="C144" s="101"/>
      <c r="D144" s="147"/>
      <c r="E144" s="116"/>
      <c r="F144" s="148"/>
      <c r="G144" s="149"/>
      <c r="H144" s="229"/>
      <c r="I144" s="229"/>
      <c r="J144" s="150"/>
      <c r="K144" s="115"/>
      <c r="L144" s="116"/>
      <c r="M144" s="115"/>
      <c r="N144" s="115"/>
      <c r="O144" s="116"/>
      <c r="P144" s="63"/>
      <c r="Q144" s="63"/>
      <c r="R144" s="115"/>
      <c r="S144" s="154"/>
      <c r="T144" s="63"/>
      <c r="U144" s="63"/>
      <c r="V144" s="115"/>
      <c r="W144" s="115"/>
      <c r="X144" s="115"/>
      <c r="Y144" s="115"/>
      <c r="Z144" s="115"/>
    </row>
    <row r="145" spans="1:26" ht="20.100000000000001" customHeight="1" x14ac:dyDescent="0.25">
      <c r="A145" s="105"/>
      <c r="B145" s="101"/>
      <c r="C145" s="101"/>
      <c r="D145" s="147"/>
      <c r="E145" s="116"/>
      <c r="F145" s="148"/>
      <c r="G145" s="149"/>
      <c r="H145" s="229"/>
      <c r="I145" s="229"/>
      <c r="J145" s="150"/>
      <c r="K145" s="115"/>
      <c r="L145" s="116"/>
      <c r="M145" s="115"/>
      <c r="N145" s="115"/>
      <c r="O145" s="116"/>
      <c r="P145" s="63"/>
      <c r="Q145" s="63"/>
      <c r="R145" s="115"/>
      <c r="S145" s="154"/>
      <c r="T145" s="63"/>
      <c r="U145" s="63"/>
      <c r="V145" s="115"/>
      <c r="W145" s="115"/>
      <c r="X145" s="115"/>
      <c r="Y145" s="115"/>
      <c r="Z145" s="115"/>
    </row>
    <row r="146" spans="1:26" ht="20.100000000000001" customHeight="1" x14ac:dyDescent="0.25">
      <c r="A146" s="105"/>
      <c r="B146" s="101"/>
      <c r="C146" s="101"/>
      <c r="D146" s="147"/>
      <c r="E146" s="116"/>
      <c r="F146" s="148"/>
      <c r="G146" s="149"/>
      <c r="H146" s="229"/>
      <c r="I146" s="229"/>
      <c r="J146" s="150"/>
      <c r="K146" s="115"/>
      <c r="L146" s="116"/>
      <c r="M146" s="115"/>
      <c r="N146" s="115"/>
      <c r="O146" s="116"/>
      <c r="P146" s="63"/>
      <c r="Q146" s="63"/>
      <c r="R146" s="115"/>
      <c r="S146" s="154"/>
      <c r="T146" s="63"/>
      <c r="U146" s="63"/>
      <c r="V146" s="115"/>
      <c r="W146" s="115"/>
      <c r="X146" s="115"/>
      <c r="Y146" s="115"/>
      <c r="Z146" s="115"/>
    </row>
    <row r="147" spans="1:26" ht="20.100000000000001" customHeight="1" x14ac:dyDescent="0.25">
      <c r="A147" s="105"/>
      <c r="B147" s="101"/>
      <c r="C147" s="101"/>
      <c r="D147" s="147"/>
      <c r="E147" s="116"/>
      <c r="F147" s="148"/>
      <c r="G147" s="149"/>
      <c r="H147" s="229"/>
      <c r="I147" s="229"/>
      <c r="J147" s="150"/>
      <c r="K147" s="115"/>
      <c r="L147" s="116"/>
      <c r="M147" s="115"/>
      <c r="N147" s="115"/>
      <c r="O147" s="116"/>
      <c r="P147" s="63"/>
      <c r="Q147" s="63"/>
      <c r="R147" s="115"/>
      <c r="S147" s="154"/>
      <c r="T147" s="63"/>
      <c r="U147" s="63"/>
      <c r="V147" s="115"/>
      <c r="W147" s="115"/>
      <c r="X147" s="115"/>
      <c r="Y147" s="115"/>
      <c r="Z147" s="115"/>
    </row>
    <row r="148" spans="1:26" ht="20.100000000000001" customHeight="1" x14ac:dyDescent="0.25">
      <c r="A148" s="105"/>
      <c r="B148" s="101"/>
      <c r="C148" s="101"/>
      <c r="D148" s="147"/>
      <c r="E148" s="116"/>
      <c r="F148" s="148"/>
      <c r="G148" s="149"/>
      <c r="H148" s="229"/>
      <c r="I148" s="229"/>
      <c r="J148" s="150"/>
      <c r="K148" s="115"/>
      <c r="L148" s="116"/>
      <c r="M148" s="115"/>
      <c r="N148" s="115"/>
      <c r="O148" s="116"/>
      <c r="P148" s="63"/>
      <c r="Q148" s="63"/>
      <c r="R148" s="115"/>
      <c r="S148" s="154"/>
      <c r="T148" s="63"/>
      <c r="U148" s="63"/>
      <c r="V148" s="115"/>
      <c r="W148" s="115"/>
      <c r="X148" s="115"/>
      <c r="Y148" s="115"/>
      <c r="Z148" s="115"/>
    </row>
    <row r="149" spans="1:26" ht="20.100000000000001" customHeight="1" x14ac:dyDescent="0.25">
      <c r="A149" s="105"/>
      <c r="B149" s="101"/>
      <c r="C149" s="101"/>
      <c r="D149" s="147"/>
      <c r="E149" s="116"/>
      <c r="F149" s="148"/>
      <c r="G149" s="149"/>
      <c r="H149" s="229"/>
      <c r="I149" s="229"/>
      <c r="J149" s="150"/>
      <c r="K149" s="115"/>
      <c r="L149" s="116"/>
      <c r="M149" s="115"/>
      <c r="N149" s="115"/>
      <c r="O149" s="116"/>
      <c r="P149" s="63"/>
      <c r="Q149" s="63"/>
      <c r="R149" s="115"/>
      <c r="S149" s="154"/>
      <c r="T149" s="63"/>
      <c r="U149" s="63"/>
      <c r="V149" s="115"/>
      <c r="W149" s="115"/>
      <c r="X149" s="115"/>
      <c r="Y149" s="115"/>
      <c r="Z149" s="115"/>
    </row>
    <row r="150" spans="1:26" ht="20.100000000000001" customHeight="1" x14ac:dyDescent="0.25">
      <c r="A150" s="105"/>
      <c r="B150" s="101"/>
      <c r="C150" s="101"/>
      <c r="D150" s="147"/>
      <c r="E150" s="116"/>
      <c r="F150" s="148"/>
      <c r="G150" s="149"/>
      <c r="H150" s="229"/>
      <c r="I150" s="229"/>
      <c r="J150" s="150"/>
      <c r="K150" s="115"/>
      <c r="L150" s="116"/>
      <c r="M150" s="115"/>
      <c r="N150" s="115"/>
      <c r="O150" s="116"/>
      <c r="P150" s="63"/>
      <c r="Q150" s="63"/>
      <c r="R150" s="115"/>
      <c r="S150" s="154"/>
      <c r="T150" s="63"/>
      <c r="U150" s="63"/>
      <c r="V150" s="115"/>
      <c r="W150" s="115"/>
      <c r="X150" s="115"/>
      <c r="Y150" s="115"/>
      <c r="Z150" s="115"/>
    </row>
    <row r="151" spans="1:26" ht="20.100000000000001" customHeight="1" x14ac:dyDescent="0.25">
      <c r="A151" s="105"/>
      <c r="B151" s="101"/>
      <c r="C151" s="101"/>
      <c r="D151" s="147"/>
      <c r="E151" s="116"/>
      <c r="F151" s="148"/>
      <c r="G151" s="149"/>
      <c r="H151" s="229"/>
      <c r="I151" s="229"/>
      <c r="J151" s="150"/>
      <c r="K151" s="115"/>
      <c r="L151" s="116"/>
      <c r="M151" s="115"/>
      <c r="N151" s="115"/>
      <c r="O151" s="116"/>
      <c r="P151" s="63"/>
      <c r="Q151" s="63"/>
      <c r="R151" s="115"/>
      <c r="S151" s="154"/>
      <c r="T151" s="63"/>
      <c r="U151" s="63"/>
      <c r="V151" s="115"/>
      <c r="W151" s="115"/>
      <c r="X151" s="115"/>
      <c r="Y151" s="115"/>
      <c r="Z151" s="115"/>
    </row>
    <row r="152" spans="1:26" ht="20.100000000000001" customHeight="1" x14ac:dyDescent="0.25">
      <c r="A152" s="105"/>
      <c r="B152" s="101"/>
      <c r="C152" s="101"/>
      <c r="D152" s="147"/>
      <c r="E152" s="116"/>
      <c r="F152" s="148"/>
      <c r="G152" s="149"/>
      <c r="H152" s="229"/>
      <c r="I152" s="229"/>
      <c r="J152" s="150"/>
      <c r="K152" s="115"/>
      <c r="L152" s="116"/>
      <c r="M152" s="115"/>
      <c r="N152" s="115"/>
      <c r="O152" s="116"/>
      <c r="P152" s="63"/>
      <c r="Q152" s="63"/>
      <c r="R152" s="115"/>
      <c r="S152" s="154"/>
      <c r="T152" s="63"/>
      <c r="U152" s="63"/>
      <c r="V152" s="115"/>
      <c r="W152" s="115"/>
      <c r="X152" s="115"/>
      <c r="Y152" s="115"/>
      <c r="Z152" s="115"/>
    </row>
    <row r="153" spans="1:26" ht="20.100000000000001" customHeight="1" x14ac:dyDescent="0.25">
      <c r="A153" s="105"/>
      <c r="B153" s="101"/>
      <c r="C153" s="101"/>
      <c r="D153" s="147"/>
      <c r="E153" s="116"/>
      <c r="F153" s="148"/>
      <c r="G153" s="149"/>
      <c r="H153" s="229"/>
      <c r="I153" s="229"/>
      <c r="J153" s="150"/>
      <c r="K153" s="115"/>
      <c r="L153" s="116"/>
      <c r="M153" s="115"/>
      <c r="N153" s="115"/>
      <c r="O153" s="116"/>
      <c r="P153" s="63"/>
      <c r="Q153" s="63"/>
      <c r="R153" s="115"/>
      <c r="S153" s="154"/>
      <c r="T153" s="63"/>
      <c r="U153" s="63"/>
      <c r="V153" s="115"/>
      <c r="W153" s="115"/>
      <c r="X153" s="115"/>
      <c r="Y153" s="115"/>
      <c r="Z153" s="115"/>
    </row>
    <row r="154" spans="1:26" ht="20.100000000000001" customHeight="1" x14ac:dyDescent="0.25">
      <c r="A154" s="105"/>
      <c r="B154" s="101"/>
      <c r="C154" s="101"/>
      <c r="D154" s="147"/>
      <c r="E154" s="116"/>
      <c r="F154" s="148"/>
      <c r="G154" s="149"/>
      <c r="H154" s="229"/>
      <c r="I154" s="229"/>
      <c r="J154" s="150"/>
      <c r="K154" s="115"/>
      <c r="L154" s="116"/>
      <c r="M154" s="115"/>
      <c r="N154" s="115"/>
      <c r="O154" s="116"/>
      <c r="P154" s="63"/>
      <c r="Q154" s="63"/>
      <c r="R154" s="115"/>
      <c r="S154" s="154"/>
      <c r="T154" s="63"/>
      <c r="U154" s="63"/>
      <c r="V154" s="115"/>
      <c r="W154" s="115"/>
      <c r="X154" s="115"/>
      <c r="Y154" s="115"/>
      <c r="Z154" s="115"/>
    </row>
    <row r="155" spans="1:26" ht="20.100000000000001" customHeight="1" x14ac:dyDescent="0.25">
      <c r="A155" s="105"/>
      <c r="B155" s="101"/>
      <c r="C155" s="101"/>
      <c r="D155" s="147"/>
      <c r="E155" s="116"/>
      <c r="F155" s="148"/>
      <c r="G155" s="149"/>
      <c r="H155" s="229"/>
      <c r="I155" s="229"/>
      <c r="J155" s="150"/>
      <c r="K155" s="115"/>
      <c r="L155" s="116"/>
      <c r="M155" s="115"/>
      <c r="N155" s="115"/>
      <c r="O155" s="116"/>
      <c r="P155" s="63"/>
      <c r="Q155" s="63"/>
      <c r="R155" s="115"/>
      <c r="S155" s="154"/>
      <c r="T155" s="63"/>
      <c r="U155" s="63"/>
      <c r="V155" s="115"/>
      <c r="W155" s="115"/>
      <c r="X155" s="115"/>
      <c r="Y155" s="115"/>
      <c r="Z155" s="115"/>
    </row>
    <row r="156" spans="1:26" ht="20.100000000000001" customHeight="1" x14ac:dyDescent="0.25">
      <c r="A156" s="105"/>
      <c r="B156" s="101"/>
      <c r="C156" s="101"/>
      <c r="D156" s="147"/>
      <c r="E156" s="116"/>
      <c r="F156" s="148"/>
      <c r="G156" s="149"/>
      <c r="H156" s="229"/>
      <c r="I156" s="229"/>
      <c r="J156" s="150"/>
      <c r="K156" s="115"/>
      <c r="L156" s="116"/>
      <c r="M156" s="115"/>
      <c r="N156" s="115"/>
      <c r="O156" s="116"/>
      <c r="P156" s="63"/>
      <c r="Q156" s="63"/>
      <c r="R156" s="115"/>
      <c r="S156" s="154"/>
      <c r="T156" s="63"/>
      <c r="U156" s="63"/>
      <c r="V156" s="115"/>
      <c r="W156" s="115"/>
      <c r="X156" s="115"/>
      <c r="Y156" s="115"/>
      <c r="Z156" s="115"/>
    </row>
    <row r="157" spans="1:26" ht="20.100000000000001" customHeight="1" x14ac:dyDescent="0.25">
      <c r="A157" s="155"/>
      <c r="B157" s="138"/>
      <c r="C157" s="138"/>
      <c r="D157" s="156"/>
      <c r="E157" s="141"/>
      <c r="F157" s="142"/>
      <c r="G157" s="143"/>
      <c r="H157" s="228"/>
      <c r="I157" s="228"/>
      <c r="J157" s="157"/>
      <c r="K157" s="146"/>
      <c r="L157" s="141"/>
      <c r="M157" s="146"/>
      <c r="N157" s="146"/>
      <c r="O157" s="141"/>
      <c r="P157" s="146"/>
      <c r="Q157" s="146"/>
      <c r="R157" s="146"/>
      <c r="S157" s="158"/>
      <c r="T157" s="146"/>
      <c r="U157" s="146"/>
      <c r="V157" s="146"/>
      <c r="W157" s="146"/>
      <c r="X157" s="146"/>
      <c r="Y157" s="146"/>
      <c r="Z157" s="146"/>
    </row>
    <row r="158" spans="1:26" ht="20.100000000000001" customHeight="1" x14ac:dyDescent="0.25">
      <c r="A158" s="105"/>
      <c r="B158" s="101"/>
      <c r="C158" s="101"/>
      <c r="D158" s="147"/>
      <c r="E158" s="116"/>
      <c r="F158" s="148"/>
      <c r="G158" s="149"/>
      <c r="H158" s="229"/>
      <c r="I158" s="229"/>
      <c r="J158" s="150"/>
      <c r="K158" s="115"/>
      <c r="L158" s="116"/>
      <c r="M158" s="115"/>
      <c r="N158" s="115"/>
      <c r="O158" s="116"/>
      <c r="P158" s="63"/>
      <c r="Q158" s="63"/>
      <c r="R158" s="115"/>
      <c r="S158" s="154"/>
      <c r="T158" s="63"/>
      <c r="U158" s="63"/>
      <c r="V158" s="115"/>
      <c r="W158" s="115"/>
      <c r="X158" s="115"/>
      <c r="Y158" s="115"/>
      <c r="Z158" s="115"/>
    </row>
    <row r="159" spans="1:26" ht="20.100000000000001" customHeight="1" x14ac:dyDescent="0.25">
      <c r="A159" s="105"/>
      <c r="B159" s="101"/>
      <c r="C159" s="101"/>
      <c r="D159" s="147"/>
      <c r="E159" s="116"/>
      <c r="F159" s="148"/>
      <c r="G159" s="149"/>
      <c r="H159" s="229"/>
      <c r="I159" s="229"/>
      <c r="J159" s="150"/>
      <c r="K159" s="115"/>
      <c r="L159" s="116"/>
      <c r="M159" s="115"/>
      <c r="N159" s="115"/>
      <c r="O159" s="116"/>
      <c r="P159" s="63"/>
      <c r="Q159" s="63"/>
      <c r="R159" s="115"/>
      <c r="S159" s="154"/>
      <c r="T159" s="63"/>
      <c r="U159" s="63"/>
      <c r="V159" s="115"/>
      <c r="W159" s="115"/>
      <c r="X159" s="115"/>
      <c r="Y159" s="115"/>
      <c r="Z159" s="115"/>
    </row>
    <row r="160" spans="1:26" ht="20.100000000000001" customHeight="1" x14ac:dyDescent="0.25">
      <c r="A160" s="105"/>
      <c r="B160" s="101"/>
      <c r="C160" s="101"/>
      <c r="D160" s="147"/>
      <c r="E160" s="116"/>
      <c r="F160" s="148"/>
      <c r="G160" s="149"/>
      <c r="H160" s="229"/>
      <c r="I160" s="229"/>
      <c r="J160" s="150"/>
      <c r="K160" s="159"/>
      <c r="L160" s="116"/>
      <c r="M160" s="115"/>
      <c r="N160" s="115"/>
      <c r="O160" s="116"/>
      <c r="P160" s="63"/>
      <c r="Q160" s="63"/>
      <c r="R160" s="115"/>
      <c r="S160" s="154"/>
      <c r="T160" s="63"/>
      <c r="U160" s="63"/>
      <c r="V160" s="115"/>
      <c r="W160" s="115"/>
      <c r="X160" s="115"/>
      <c r="Y160" s="115"/>
      <c r="Z160" s="115"/>
    </row>
    <row r="161" spans="1:26" ht="20.100000000000001" customHeight="1" x14ac:dyDescent="0.25">
      <c r="A161" s="105"/>
      <c r="B161" s="101"/>
      <c r="C161" s="101"/>
      <c r="D161" s="147"/>
      <c r="E161" s="116"/>
      <c r="F161" s="148"/>
      <c r="G161" s="149"/>
      <c r="H161" s="229"/>
      <c r="I161" s="229"/>
      <c r="J161" s="150"/>
      <c r="K161" s="115"/>
      <c r="L161" s="116"/>
      <c r="M161" s="115"/>
      <c r="N161" s="115"/>
      <c r="O161" s="116"/>
      <c r="P161" s="63"/>
      <c r="Q161" s="63"/>
      <c r="R161" s="115"/>
      <c r="S161" s="154"/>
      <c r="T161" s="63"/>
      <c r="U161" s="63"/>
      <c r="V161" s="115"/>
      <c r="W161" s="115"/>
      <c r="X161" s="115"/>
      <c r="Y161" s="115"/>
      <c r="Z161" s="115"/>
    </row>
    <row r="162" spans="1:26" ht="20.100000000000001" customHeight="1" x14ac:dyDescent="0.25">
      <c r="A162" s="159"/>
      <c r="B162" s="101"/>
      <c r="C162" s="101"/>
      <c r="D162" s="140"/>
      <c r="E162" s="141"/>
      <c r="F162" s="142"/>
      <c r="G162" s="143"/>
      <c r="H162" s="228"/>
      <c r="I162" s="228"/>
      <c r="J162" s="144"/>
      <c r="K162" s="145"/>
      <c r="L162" s="141"/>
      <c r="M162" s="145"/>
      <c r="N162" s="145"/>
      <c r="O162" s="141"/>
      <c r="P162" s="146"/>
      <c r="Q162" s="146"/>
      <c r="R162" s="145"/>
      <c r="S162" s="158"/>
      <c r="T162" s="146"/>
      <c r="U162" s="146"/>
      <c r="V162" s="145"/>
      <c r="W162" s="145"/>
      <c r="X162" s="145"/>
      <c r="Y162" s="145"/>
      <c r="Z162" s="145"/>
    </row>
    <row r="163" spans="1:26" ht="20.100000000000001" customHeight="1" x14ac:dyDescent="0.25">
      <c r="A163" s="159"/>
      <c r="B163" s="101"/>
      <c r="C163" s="101"/>
      <c r="D163" s="160"/>
      <c r="E163" s="101"/>
      <c r="F163" s="102"/>
      <c r="G163" s="103"/>
      <c r="H163" s="224"/>
      <c r="I163" s="224"/>
      <c r="J163" s="161"/>
      <c r="K163" s="159"/>
      <c r="L163" s="101"/>
      <c r="M163" s="159"/>
      <c r="N163" s="159"/>
      <c r="O163" s="101"/>
      <c r="P163" s="162"/>
      <c r="Q163" s="162"/>
      <c r="R163" s="159"/>
      <c r="S163" s="231"/>
      <c r="T163" s="162"/>
      <c r="U163" s="162"/>
      <c r="V163" s="159"/>
      <c r="W163" s="159"/>
      <c r="X163" s="159"/>
      <c r="Y163" s="159"/>
      <c r="Z163" s="159"/>
    </row>
    <row r="164" spans="1:26" ht="20.100000000000001" customHeight="1" x14ac:dyDescent="0.25">
      <c r="A164" s="159"/>
      <c r="B164" s="101"/>
      <c r="C164" s="101"/>
      <c r="D164" s="160"/>
      <c r="E164" s="101"/>
      <c r="F164" s="102"/>
      <c r="G164" s="103"/>
      <c r="H164" s="224"/>
      <c r="I164" s="224"/>
      <c r="J164" s="161"/>
      <c r="K164" s="159"/>
      <c r="L164" s="101"/>
      <c r="M164" s="159"/>
      <c r="N164" s="159"/>
      <c r="O164" s="101"/>
      <c r="P164" s="162"/>
      <c r="Q164" s="162"/>
      <c r="R164" s="159"/>
      <c r="S164" s="231"/>
      <c r="T164" s="162"/>
      <c r="U164" s="162"/>
      <c r="V164" s="159"/>
      <c r="W164" s="159"/>
      <c r="X164" s="159"/>
      <c r="Y164" s="159"/>
      <c r="Z164" s="159"/>
    </row>
    <row r="165" spans="1:26" ht="20.100000000000001" customHeight="1" x14ac:dyDescent="0.25">
      <c r="A165" s="136"/>
      <c r="B165" s="138"/>
      <c r="C165" s="138"/>
      <c r="D165" s="137"/>
      <c r="E165" s="138"/>
      <c r="F165" s="131"/>
      <c r="G165" s="132"/>
      <c r="H165" s="227"/>
      <c r="I165" s="227"/>
      <c r="J165" s="133"/>
      <c r="K165" s="136"/>
      <c r="L165" s="138"/>
      <c r="M165" s="136"/>
      <c r="N165" s="136"/>
      <c r="O165" s="138"/>
      <c r="P165" s="139"/>
      <c r="Q165" s="139"/>
      <c r="R165" s="136"/>
      <c r="S165" s="235"/>
      <c r="T165" s="139"/>
      <c r="U165" s="139"/>
      <c r="V165" s="136"/>
      <c r="W165" s="136"/>
      <c r="X165" s="136"/>
      <c r="Y165" s="136"/>
      <c r="Z165" s="136"/>
    </row>
    <row r="166" spans="1:26" ht="20.100000000000001" customHeight="1" x14ac:dyDescent="0.25">
      <c r="A166" s="145"/>
      <c r="B166" s="141"/>
      <c r="C166" s="141"/>
      <c r="D166" s="140"/>
      <c r="E166" s="141"/>
      <c r="F166" s="142"/>
      <c r="G166" s="143"/>
      <c r="H166" s="228"/>
      <c r="I166" s="228"/>
      <c r="J166" s="144"/>
      <c r="K166" s="145"/>
      <c r="L166" s="141"/>
      <c r="M166" s="145"/>
      <c r="N166" s="145"/>
      <c r="O166" s="141"/>
      <c r="P166" s="146"/>
      <c r="Q166" s="146"/>
      <c r="R166" s="145"/>
      <c r="S166" s="158"/>
      <c r="T166" s="146"/>
      <c r="U166" s="146"/>
      <c r="V166" s="145"/>
      <c r="W166" s="145"/>
      <c r="X166" s="145"/>
      <c r="Y166" s="145"/>
      <c r="Z166" s="145"/>
    </row>
    <row r="167" spans="1:26" ht="20.100000000000001" customHeight="1" x14ac:dyDescent="0.25">
      <c r="A167" s="145"/>
      <c r="B167" s="141"/>
      <c r="C167" s="141"/>
      <c r="D167" s="140"/>
      <c r="E167" s="141"/>
      <c r="F167" s="142"/>
      <c r="G167" s="143"/>
      <c r="H167" s="228"/>
      <c r="I167" s="228"/>
      <c r="J167" s="144"/>
      <c r="K167" s="145"/>
      <c r="L167" s="141"/>
      <c r="M167" s="145"/>
      <c r="N167" s="145"/>
      <c r="O167" s="141"/>
      <c r="P167" s="146"/>
      <c r="Q167" s="146"/>
      <c r="R167" s="145"/>
      <c r="S167" s="158"/>
      <c r="T167" s="146"/>
      <c r="U167" s="146"/>
      <c r="V167" s="145"/>
      <c r="W167" s="145"/>
      <c r="X167" s="145"/>
      <c r="Y167" s="145"/>
      <c r="Z167" s="145"/>
    </row>
    <row r="168" spans="1:26" ht="20.100000000000001" customHeight="1" x14ac:dyDescent="0.25">
      <c r="A168" s="115"/>
      <c r="B168" s="116"/>
      <c r="C168" s="116"/>
      <c r="D168" s="147"/>
      <c r="E168" s="116"/>
      <c r="F168" s="148"/>
      <c r="G168" s="149"/>
      <c r="H168" s="229"/>
      <c r="I168" s="229"/>
      <c r="J168" s="150"/>
      <c r="K168" s="115"/>
      <c r="L168" s="116"/>
      <c r="M168" s="115"/>
      <c r="N168" s="115"/>
      <c r="O168" s="116"/>
      <c r="P168" s="63"/>
      <c r="Q168" s="63"/>
      <c r="R168" s="115"/>
      <c r="S168" s="154"/>
      <c r="T168" s="63"/>
      <c r="U168" s="63"/>
      <c r="V168" s="115"/>
      <c r="W168" s="115"/>
      <c r="X168" s="115"/>
      <c r="Y168" s="115"/>
      <c r="Z168" s="115"/>
    </row>
    <row r="169" spans="1:26" ht="20.100000000000001" customHeight="1" x14ac:dyDescent="0.25">
      <c r="A169" s="115"/>
      <c r="B169" s="116"/>
      <c r="C169" s="116"/>
      <c r="D169" s="147"/>
      <c r="E169" s="116"/>
      <c r="F169" s="148"/>
      <c r="G169" s="149"/>
      <c r="H169" s="229"/>
      <c r="I169" s="229"/>
      <c r="J169" s="150"/>
      <c r="K169" s="115"/>
      <c r="L169" s="116"/>
      <c r="M169" s="115"/>
      <c r="N169" s="115"/>
      <c r="O169" s="116"/>
      <c r="P169" s="63"/>
      <c r="Q169" s="63"/>
      <c r="R169" s="115"/>
      <c r="S169" s="154"/>
      <c r="T169" s="63"/>
      <c r="U169" s="63"/>
      <c r="V169" s="115"/>
      <c r="W169" s="115"/>
      <c r="X169" s="115"/>
      <c r="Y169" s="115"/>
      <c r="Z169" s="115"/>
    </row>
    <row r="170" spans="1:26" ht="20.100000000000001" customHeight="1" x14ac:dyDescent="0.25">
      <c r="A170" s="115"/>
      <c r="B170" s="116"/>
      <c r="C170" s="116"/>
      <c r="D170" s="147"/>
      <c r="E170" s="116"/>
      <c r="F170" s="148"/>
      <c r="G170" s="149"/>
      <c r="H170" s="229"/>
      <c r="I170" s="229"/>
      <c r="J170" s="150"/>
      <c r="K170" s="115"/>
      <c r="L170" s="116"/>
      <c r="M170" s="115"/>
      <c r="N170" s="115"/>
      <c r="O170" s="116"/>
      <c r="P170" s="63"/>
      <c r="Q170" s="63"/>
      <c r="R170" s="115"/>
      <c r="S170" s="154"/>
      <c r="T170" s="63"/>
      <c r="U170" s="63"/>
      <c r="V170" s="115"/>
      <c r="W170" s="115"/>
      <c r="X170" s="115"/>
      <c r="Y170" s="115"/>
      <c r="Z170" s="115"/>
    </row>
    <row r="171" spans="1:26" ht="20.100000000000001" customHeight="1" x14ac:dyDescent="0.25">
      <c r="A171" s="115"/>
      <c r="B171" s="116"/>
      <c r="C171" s="116"/>
      <c r="D171" s="147"/>
      <c r="E171" s="116"/>
      <c r="F171" s="148"/>
      <c r="G171" s="149"/>
      <c r="H171" s="229"/>
      <c r="I171" s="229"/>
      <c r="J171" s="150"/>
      <c r="K171" s="115"/>
      <c r="L171" s="116"/>
      <c r="M171" s="115"/>
      <c r="N171" s="115"/>
      <c r="O171" s="116"/>
      <c r="P171" s="63"/>
      <c r="Q171" s="63"/>
      <c r="R171" s="115"/>
      <c r="S171" s="154"/>
      <c r="T171" s="63"/>
      <c r="U171" s="63"/>
      <c r="V171" s="115"/>
      <c r="W171" s="115"/>
      <c r="X171" s="115"/>
      <c r="Y171" s="115"/>
      <c r="Z171" s="115"/>
    </row>
    <row r="172" spans="1:26" ht="20.100000000000001" customHeight="1" x14ac:dyDescent="0.25">
      <c r="A172" s="115"/>
      <c r="B172" s="116"/>
      <c r="C172" s="116"/>
      <c r="D172" s="147"/>
      <c r="E172" s="116"/>
      <c r="F172" s="148"/>
      <c r="G172" s="149"/>
      <c r="H172" s="229"/>
      <c r="I172" s="229"/>
      <c r="J172" s="150"/>
      <c r="K172" s="105"/>
      <c r="L172" s="116"/>
      <c r="M172" s="115"/>
      <c r="N172" s="115"/>
      <c r="O172" s="116"/>
      <c r="P172" s="63"/>
      <c r="Q172" s="63"/>
      <c r="R172" s="115"/>
      <c r="S172" s="154"/>
      <c r="T172" s="63"/>
      <c r="U172" s="63"/>
      <c r="V172" s="115"/>
      <c r="W172" s="115"/>
      <c r="X172" s="115"/>
      <c r="Y172" s="115"/>
      <c r="Z172" s="115"/>
    </row>
    <row r="173" spans="1:26" ht="20.100000000000001" customHeight="1" x14ac:dyDescent="0.25">
      <c r="A173" s="115"/>
      <c r="B173" s="116"/>
      <c r="C173" s="116"/>
      <c r="D173" s="147"/>
      <c r="E173" s="116"/>
      <c r="F173" s="148"/>
      <c r="G173" s="149"/>
      <c r="H173" s="229"/>
      <c r="I173" s="229"/>
      <c r="J173" s="150"/>
      <c r="K173" s="159"/>
      <c r="L173" s="116"/>
      <c r="M173" s="115"/>
      <c r="N173" s="115"/>
      <c r="O173" s="116"/>
      <c r="P173" s="63"/>
      <c r="Q173" s="63"/>
      <c r="R173" s="115"/>
      <c r="S173" s="154"/>
      <c r="T173" s="63"/>
      <c r="U173" s="63"/>
      <c r="V173" s="115"/>
      <c r="W173" s="115"/>
      <c r="X173" s="115"/>
      <c r="Y173" s="115"/>
      <c r="Z173" s="115"/>
    </row>
    <row r="174" spans="1:26" ht="20.100000000000001" customHeight="1" x14ac:dyDescent="0.25">
      <c r="A174" s="115"/>
      <c r="B174" s="116"/>
      <c r="C174" s="116"/>
      <c r="D174" s="147"/>
      <c r="E174" s="116"/>
      <c r="F174" s="148"/>
      <c r="G174" s="149"/>
      <c r="H174" s="229"/>
      <c r="I174" s="229"/>
      <c r="J174" s="150"/>
      <c r="K174" s="115"/>
      <c r="L174" s="116"/>
      <c r="M174" s="115"/>
      <c r="N174" s="115"/>
      <c r="O174" s="116"/>
      <c r="P174" s="63"/>
      <c r="Q174" s="63"/>
      <c r="R174" s="115"/>
      <c r="S174" s="154"/>
      <c r="T174" s="63"/>
      <c r="U174" s="63"/>
      <c r="V174" s="115"/>
      <c r="W174" s="115"/>
      <c r="X174" s="115"/>
      <c r="Y174" s="115"/>
      <c r="Z174" s="115"/>
    </row>
    <row r="175" spans="1:26" ht="20.100000000000001" customHeight="1" x14ac:dyDescent="0.25">
      <c r="A175" s="115"/>
      <c r="B175" s="116"/>
      <c r="C175" s="116"/>
      <c r="D175" s="147"/>
      <c r="E175" s="116"/>
      <c r="F175" s="148"/>
      <c r="G175" s="149"/>
      <c r="H175" s="229"/>
      <c r="I175" s="229"/>
      <c r="J175" s="150"/>
      <c r="K175" s="115"/>
      <c r="L175" s="116"/>
      <c r="M175" s="115"/>
      <c r="N175" s="115"/>
      <c r="O175" s="116"/>
      <c r="P175" s="63"/>
      <c r="Q175" s="63"/>
      <c r="R175" s="115"/>
      <c r="S175" s="154"/>
      <c r="T175" s="63"/>
      <c r="U175" s="63"/>
      <c r="V175" s="115"/>
      <c r="W175" s="115"/>
      <c r="X175" s="115"/>
      <c r="Y175" s="115"/>
      <c r="Z175" s="115"/>
    </row>
    <row r="176" spans="1:26" ht="20.100000000000001" customHeight="1" x14ac:dyDescent="0.25">
      <c r="A176" s="134"/>
      <c r="B176" s="130"/>
      <c r="C176" s="130"/>
      <c r="D176" s="134"/>
      <c r="E176" s="130"/>
      <c r="F176" s="131"/>
      <c r="G176" s="132"/>
      <c r="H176" s="227"/>
      <c r="I176" s="227"/>
      <c r="J176" s="133"/>
      <c r="K176" s="134"/>
      <c r="L176" s="130"/>
      <c r="M176" s="134"/>
      <c r="N176" s="134"/>
      <c r="O176" s="130"/>
      <c r="P176" s="135"/>
      <c r="Q176" s="135"/>
      <c r="R176" s="136"/>
      <c r="S176" s="235"/>
      <c r="T176" s="139"/>
      <c r="U176" s="139"/>
      <c r="V176" s="136"/>
      <c r="W176" s="136"/>
      <c r="X176" s="136"/>
      <c r="Y176" s="136"/>
      <c r="Z176" s="136"/>
    </row>
    <row r="177" spans="1:26" ht="20.100000000000001" customHeight="1" x14ac:dyDescent="0.25">
      <c r="A177" s="134"/>
      <c r="B177" s="130"/>
      <c r="C177" s="130"/>
      <c r="D177" s="134"/>
      <c r="E177" s="130"/>
      <c r="F177" s="131"/>
      <c r="G177" s="132"/>
      <c r="H177" s="227"/>
      <c r="I177" s="227"/>
      <c r="J177" s="133"/>
      <c r="K177" s="134"/>
      <c r="L177" s="130"/>
      <c r="M177" s="134"/>
      <c r="N177" s="134"/>
      <c r="O177" s="130"/>
      <c r="P177" s="135"/>
      <c r="Q177" s="135"/>
      <c r="R177" s="136"/>
      <c r="S177" s="235"/>
      <c r="T177" s="139"/>
      <c r="U177" s="139"/>
      <c r="V177" s="136"/>
      <c r="W177" s="136"/>
      <c r="X177" s="136"/>
      <c r="Y177" s="136"/>
      <c r="Z177" s="136"/>
    </row>
    <row r="178" spans="1:26" ht="20.100000000000001" customHeight="1" x14ac:dyDescent="0.25">
      <c r="A178" s="134"/>
      <c r="B178" s="130"/>
      <c r="C178" s="130"/>
      <c r="D178" s="134"/>
      <c r="E178" s="130"/>
      <c r="F178" s="131"/>
      <c r="G178" s="132"/>
      <c r="H178" s="227"/>
      <c r="I178" s="227"/>
      <c r="J178" s="133"/>
      <c r="K178" s="134"/>
      <c r="L178" s="130"/>
      <c r="M178" s="134"/>
      <c r="N178" s="134"/>
      <c r="O178" s="130"/>
      <c r="P178" s="135"/>
      <c r="Q178" s="135"/>
      <c r="R178" s="136"/>
      <c r="S178" s="235"/>
      <c r="T178" s="139"/>
      <c r="U178" s="139"/>
      <c r="V178" s="136"/>
      <c r="W178" s="136"/>
      <c r="X178" s="136"/>
      <c r="Y178" s="136"/>
      <c r="Z178" s="136"/>
    </row>
    <row r="179" spans="1:26" ht="20.100000000000001" customHeight="1" x14ac:dyDescent="0.25">
      <c r="A179" s="134"/>
      <c r="B179" s="130"/>
      <c r="C179" s="130"/>
      <c r="D179" s="134"/>
      <c r="E179" s="130"/>
      <c r="F179" s="131"/>
      <c r="G179" s="132"/>
      <c r="H179" s="227"/>
      <c r="I179" s="227"/>
      <c r="J179" s="133"/>
      <c r="K179" s="134"/>
      <c r="L179" s="130"/>
      <c r="M179" s="134"/>
      <c r="N179" s="134"/>
      <c r="O179" s="130"/>
      <c r="P179" s="135"/>
      <c r="Q179" s="135"/>
      <c r="R179" s="136"/>
      <c r="S179" s="235"/>
      <c r="T179" s="139"/>
      <c r="U179" s="139"/>
      <c r="V179" s="136"/>
      <c r="W179" s="136"/>
      <c r="X179" s="136"/>
      <c r="Y179" s="136"/>
      <c r="Z179" s="136"/>
    </row>
    <row r="180" spans="1:26" ht="20.100000000000001" customHeight="1" x14ac:dyDescent="0.25">
      <c r="A180" s="134"/>
      <c r="B180" s="130"/>
      <c r="C180" s="130"/>
      <c r="D180" s="134"/>
      <c r="E180" s="130"/>
      <c r="F180" s="131"/>
      <c r="G180" s="132"/>
      <c r="H180" s="227"/>
      <c r="I180" s="227"/>
      <c r="J180" s="133"/>
      <c r="K180" s="134"/>
      <c r="L180" s="130"/>
      <c r="M180" s="134"/>
      <c r="N180" s="134"/>
      <c r="O180" s="130"/>
      <c r="P180" s="135"/>
      <c r="Q180" s="135"/>
      <c r="R180" s="136"/>
      <c r="S180" s="235"/>
      <c r="T180" s="139"/>
      <c r="U180" s="139"/>
      <c r="V180" s="136"/>
      <c r="W180" s="136"/>
      <c r="X180" s="136"/>
      <c r="Y180" s="136"/>
      <c r="Z180" s="136"/>
    </row>
    <row r="181" spans="1:26" ht="20.100000000000001" customHeight="1" x14ac:dyDescent="0.25">
      <c r="A181" s="134"/>
      <c r="B181" s="130"/>
      <c r="C181" s="130"/>
      <c r="D181" s="134"/>
      <c r="E181" s="130"/>
      <c r="F181" s="131"/>
      <c r="G181" s="132"/>
      <c r="H181" s="227"/>
      <c r="I181" s="227"/>
      <c r="J181" s="133"/>
      <c r="K181" s="134"/>
      <c r="L181" s="130"/>
      <c r="M181" s="134"/>
      <c r="N181" s="134"/>
      <c r="O181" s="130"/>
      <c r="P181" s="135"/>
      <c r="Q181" s="135"/>
      <c r="R181" s="136"/>
      <c r="S181" s="235"/>
      <c r="T181" s="139"/>
      <c r="U181" s="139"/>
      <c r="V181" s="136"/>
      <c r="W181" s="136"/>
      <c r="X181" s="136"/>
      <c r="Y181" s="136"/>
      <c r="Z181" s="136"/>
    </row>
    <row r="182" spans="1:26" ht="20.100000000000001" customHeight="1" x14ac:dyDescent="0.25">
      <c r="A182" s="134"/>
      <c r="B182" s="130"/>
      <c r="C182" s="130"/>
      <c r="D182" s="134"/>
      <c r="E182" s="130"/>
      <c r="F182" s="131"/>
      <c r="G182" s="132"/>
      <c r="H182" s="227"/>
      <c r="I182" s="227"/>
      <c r="J182" s="133"/>
      <c r="K182" s="134"/>
      <c r="L182" s="130"/>
      <c r="M182" s="134"/>
      <c r="N182" s="134"/>
      <c r="O182" s="130"/>
      <c r="P182" s="135"/>
      <c r="Q182" s="135"/>
      <c r="R182" s="136"/>
      <c r="S182" s="235"/>
      <c r="T182" s="139"/>
      <c r="U182" s="139"/>
      <c r="V182" s="136"/>
      <c r="W182" s="136"/>
      <c r="X182" s="136"/>
      <c r="Y182" s="136"/>
      <c r="Z182" s="136"/>
    </row>
    <row r="183" spans="1:26" ht="20.100000000000001" customHeight="1" x14ac:dyDescent="0.25">
      <c r="A183" s="134"/>
      <c r="B183" s="130"/>
      <c r="C183" s="130"/>
      <c r="D183" s="134"/>
      <c r="E183" s="130"/>
      <c r="F183" s="131"/>
      <c r="G183" s="132"/>
      <c r="H183" s="227"/>
      <c r="I183" s="227"/>
      <c r="J183" s="133"/>
      <c r="K183" s="134"/>
      <c r="L183" s="130"/>
      <c r="M183" s="134"/>
      <c r="N183" s="134"/>
      <c r="O183" s="130"/>
      <c r="P183" s="135"/>
      <c r="Q183" s="135"/>
      <c r="R183" s="136"/>
      <c r="S183" s="235"/>
      <c r="T183" s="139"/>
      <c r="U183" s="139"/>
      <c r="V183" s="136"/>
      <c r="W183" s="136"/>
      <c r="X183" s="136"/>
      <c r="Y183" s="136"/>
      <c r="Z183" s="136"/>
    </row>
    <row r="184" spans="1:26" ht="20.100000000000001" customHeight="1" x14ac:dyDescent="0.25">
      <c r="A184" s="134"/>
      <c r="B184" s="130"/>
      <c r="C184" s="130"/>
      <c r="D184" s="134"/>
      <c r="E184" s="130"/>
      <c r="F184" s="131"/>
      <c r="G184" s="132"/>
      <c r="H184" s="227"/>
      <c r="I184" s="227"/>
      <c r="J184" s="133"/>
      <c r="K184" s="134"/>
      <c r="L184" s="130"/>
      <c r="M184" s="134"/>
      <c r="N184" s="134"/>
      <c r="O184" s="130"/>
      <c r="P184" s="135"/>
      <c r="Q184" s="135"/>
      <c r="R184" s="136"/>
      <c r="S184" s="235"/>
      <c r="T184" s="139"/>
      <c r="U184" s="139"/>
      <c r="V184" s="136"/>
      <c r="W184" s="136"/>
      <c r="X184" s="136"/>
      <c r="Y184" s="136"/>
      <c r="Z184" s="136"/>
    </row>
    <row r="185" spans="1:26" ht="20.100000000000001" customHeight="1" x14ac:dyDescent="0.25">
      <c r="A185" s="134"/>
      <c r="B185" s="130"/>
      <c r="C185" s="130"/>
      <c r="D185" s="129"/>
      <c r="E185" s="130"/>
      <c r="F185" s="131"/>
      <c r="G185" s="132"/>
      <c r="H185" s="227"/>
      <c r="I185" s="227"/>
      <c r="J185" s="133"/>
      <c r="K185" s="134"/>
      <c r="L185" s="130"/>
      <c r="M185" s="134"/>
      <c r="N185" s="134"/>
      <c r="O185" s="130"/>
      <c r="P185" s="135"/>
      <c r="Q185" s="135"/>
      <c r="R185" s="136"/>
      <c r="S185" s="235"/>
      <c r="T185" s="139"/>
      <c r="U185" s="139"/>
      <c r="V185" s="136"/>
      <c r="W185" s="136"/>
      <c r="X185" s="136"/>
      <c r="Y185" s="136"/>
      <c r="Z185" s="136"/>
    </row>
    <row r="186" spans="1:26" ht="20.100000000000001" customHeight="1" x14ac:dyDescent="0.25">
      <c r="A186" s="134"/>
      <c r="B186" s="130"/>
      <c r="C186" s="130"/>
      <c r="D186" s="134"/>
      <c r="E186" s="130"/>
      <c r="F186" s="131"/>
      <c r="G186" s="132"/>
      <c r="H186" s="227"/>
      <c r="I186" s="227"/>
      <c r="J186" s="133"/>
      <c r="K186" s="112"/>
      <c r="L186" s="130"/>
      <c r="M186" s="134"/>
      <c r="N186" s="134"/>
      <c r="O186" s="130"/>
      <c r="P186" s="135"/>
      <c r="Q186" s="135"/>
      <c r="R186" s="136"/>
      <c r="S186" s="235"/>
      <c r="T186" s="139"/>
      <c r="U186" s="139"/>
      <c r="V186" s="136"/>
      <c r="W186" s="136"/>
      <c r="X186" s="136"/>
      <c r="Y186" s="136"/>
      <c r="Z186" s="136"/>
    </row>
    <row r="187" spans="1:26" ht="20.100000000000001" customHeight="1" x14ac:dyDescent="0.25">
      <c r="A187" s="134"/>
      <c r="B187" s="130"/>
      <c r="C187" s="130"/>
      <c r="D187" s="134"/>
      <c r="E187" s="130"/>
      <c r="F187" s="131"/>
      <c r="G187" s="132"/>
      <c r="H187" s="227"/>
      <c r="I187" s="227"/>
      <c r="J187" s="133"/>
      <c r="K187" s="112"/>
      <c r="L187" s="130"/>
      <c r="M187" s="134"/>
      <c r="N187" s="134"/>
      <c r="O187" s="130"/>
      <c r="P187" s="135"/>
      <c r="Q187" s="135"/>
      <c r="R187" s="136"/>
      <c r="S187" s="235"/>
      <c r="T187" s="139"/>
      <c r="U187" s="139"/>
      <c r="V187" s="136"/>
      <c r="W187" s="136"/>
      <c r="X187" s="136"/>
      <c r="Y187" s="136"/>
      <c r="Z187" s="136"/>
    </row>
    <row r="188" spans="1:26" ht="20.100000000000001" customHeight="1" x14ac:dyDescent="0.25">
      <c r="A188" s="134"/>
      <c r="B188" s="130"/>
      <c r="C188" s="130"/>
      <c r="D188" s="129"/>
      <c r="E188" s="130"/>
      <c r="F188" s="131"/>
      <c r="G188" s="132"/>
      <c r="H188" s="227"/>
      <c r="I188" s="227"/>
      <c r="J188" s="133"/>
      <c r="K188" s="112"/>
      <c r="L188" s="130"/>
      <c r="M188" s="134"/>
      <c r="N188" s="134"/>
      <c r="O188" s="130"/>
      <c r="P188" s="135"/>
      <c r="Q188" s="135"/>
      <c r="R188" s="136"/>
      <c r="S188" s="235"/>
      <c r="T188" s="139"/>
      <c r="U188" s="139"/>
      <c r="V188" s="136"/>
      <c r="W188" s="136"/>
      <c r="X188" s="136"/>
      <c r="Y188" s="136"/>
      <c r="Z188" s="136"/>
    </row>
    <row r="189" spans="1:26" ht="20.100000000000001" customHeight="1" x14ac:dyDescent="0.25">
      <c r="A189" s="134"/>
      <c r="B189" s="130"/>
      <c r="C189" s="130"/>
      <c r="D189" s="129"/>
      <c r="E189" s="130"/>
      <c r="F189" s="131"/>
      <c r="G189" s="132"/>
      <c r="H189" s="227"/>
      <c r="I189" s="227"/>
      <c r="J189" s="133"/>
      <c r="K189" s="112"/>
      <c r="L189" s="130"/>
      <c r="M189" s="134"/>
      <c r="N189" s="134"/>
      <c r="O189" s="130"/>
      <c r="P189" s="135"/>
      <c r="Q189" s="135"/>
      <c r="R189" s="136"/>
      <c r="S189" s="235"/>
      <c r="T189" s="139"/>
      <c r="U189" s="139"/>
      <c r="V189" s="136"/>
      <c r="W189" s="136"/>
      <c r="X189" s="136"/>
      <c r="Y189" s="136"/>
      <c r="Z189" s="136"/>
    </row>
    <row r="190" spans="1:26" ht="20.100000000000001" customHeight="1" x14ac:dyDescent="0.25">
      <c r="A190" s="134"/>
      <c r="B190" s="130"/>
      <c r="C190" s="130"/>
      <c r="D190" s="134"/>
      <c r="E190" s="130"/>
      <c r="F190" s="131"/>
      <c r="G190" s="132"/>
      <c r="H190" s="227"/>
      <c r="I190" s="227"/>
      <c r="J190" s="133"/>
      <c r="K190" s="134"/>
      <c r="L190" s="130"/>
      <c r="M190" s="134"/>
      <c r="N190" s="134"/>
      <c r="O190" s="130"/>
      <c r="P190" s="135"/>
      <c r="Q190" s="135"/>
      <c r="R190" s="136"/>
      <c r="S190" s="235"/>
      <c r="T190" s="139"/>
      <c r="U190" s="139"/>
      <c r="V190" s="136"/>
      <c r="W190" s="136"/>
      <c r="X190" s="136"/>
      <c r="Y190" s="136"/>
      <c r="Z190" s="136"/>
    </row>
    <row r="191" spans="1:26" ht="20.100000000000001" customHeight="1" x14ac:dyDescent="0.25">
      <c r="A191" s="134"/>
      <c r="B191" s="130"/>
      <c r="C191" s="130"/>
      <c r="D191" s="134"/>
      <c r="E191" s="130"/>
      <c r="F191" s="131"/>
      <c r="G191" s="132"/>
      <c r="H191" s="227"/>
      <c r="I191" s="227"/>
      <c r="J191" s="133"/>
      <c r="K191" s="134"/>
      <c r="L191" s="130"/>
      <c r="M191" s="134"/>
      <c r="N191" s="134"/>
      <c r="O191" s="130"/>
      <c r="P191" s="135"/>
      <c r="Q191" s="135"/>
      <c r="R191" s="136"/>
      <c r="S191" s="235"/>
      <c r="T191" s="139"/>
      <c r="U191" s="139"/>
      <c r="V191" s="136"/>
      <c r="W191" s="136"/>
      <c r="X191" s="136"/>
      <c r="Y191" s="136"/>
      <c r="Z191" s="136"/>
    </row>
    <row r="192" spans="1:26" ht="20.100000000000001" customHeight="1" x14ac:dyDescent="0.25">
      <c r="A192" s="134"/>
      <c r="B192" s="130"/>
      <c r="C192" s="130"/>
      <c r="D192" s="134"/>
      <c r="E192" s="130"/>
      <c r="F192" s="131"/>
      <c r="G192" s="132"/>
      <c r="H192" s="227"/>
      <c r="I192" s="227"/>
      <c r="J192" s="133"/>
      <c r="K192" s="134"/>
      <c r="L192" s="130"/>
      <c r="M192" s="134"/>
      <c r="N192" s="134"/>
      <c r="O192" s="130"/>
      <c r="P192" s="135"/>
      <c r="Q192" s="135"/>
      <c r="R192" s="136"/>
      <c r="S192" s="235"/>
      <c r="T192" s="139"/>
      <c r="U192" s="139"/>
      <c r="V192" s="136"/>
      <c r="W192" s="136"/>
      <c r="X192" s="136"/>
      <c r="Y192" s="136"/>
      <c r="Z192" s="136"/>
    </row>
    <row r="193" spans="1:26" ht="20.100000000000001" customHeight="1" x14ac:dyDescent="0.25">
      <c r="A193" s="134"/>
      <c r="B193" s="130"/>
      <c r="C193" s="130"/>
      <c r="D193" s="129"/>
      <c r="E193" s="130"/>
      <c r="F193" s="131"/>
      <c r="G193" s="132"/>
      <c r="H193" s="227"/>
      <c r="I193" s="227"/>
      <c r="J193" s="133"/>
      <c r="K193" s="134"/>
      <c r="L193" s="130"/>
      <c r="M193" s="134"/>
      <c r="N193" s="134"/>
      <c r="O193" s="130"/>
      <c r="P193" s="135"/>
      <c r="Q193" s="135"/>
      <c r="R193" s="136"/>
      <c r="S193" s="235"/>
      <c r="T193" s="139"/>
      <c r="U193" s="139"/>
      <c r="V193" s="136"/>
      <c r="W193" s="136"/>
      <c r="X193" s="136"/>
      <c r="Y193" s="136"/>
      <c r="Z193" s="136"/>
    </row>
    <row r="194" spans="1:26" ht="20.100000000000001" customHeight="1" x14ac:dyDescent="0.25">
      <c r="A194" s="134"/>
      <c r="B194" s="130"/>
      <c r="C194" s="130"/>
      <c r="D194" s="129"/>
      <c r="E194" s="130"/>
      <c r="F194" s="131"/>
      <c r="G194" s="132"/>
      <c r="H194" s="227"/>
      <c r="I194" s="227"/>
      <c r="J194" s="133"/>
      <c r="K194" s="134"/>
      <c r="L194" s="130"/>
      <c r="M194" s="134"/>
      <c r="N194" s="134"/>
      <c r="O194" s="130"/>
      <c r="P194" s="135"/>
      <c r="Q194" s="135"/>
      <c r="R194" s="136"/>
      <c r="S194" s="235"/>
      <c r="T194" s="139"/>
      <c r="U194" s="139"/>
      <c r="V194" s="136"/>
      <c r="W194" s="136"/>
      <c r="X194" s="136"/>
      <c r="Y194" s="136"/>
      <c r="Z194" s="136"/>
    </row>
    <row r="195" spans="1:26" ht="20.100000000000001" customHeight="1" x14ac:dyDescent="0.25">
      <c r="A195" s="115"/>
      <c r="B195" s="116"/>
      <c r="C195" s="116"/>
      <c r="D195" s="115"/>
      <c r="E195" s="116"/>
      <c r="F195" s="148"/>
      <c r="G195" s="149"/>
      <c r="H195" s="229"/>
      <c r="I195" s="229"/>
      <c r="J195" s="150"/>
      <c r="K195" s="115"/>
      <c r="L195" s="116"/>
      <c r="M195" s="115"/>
      <c r="N195" s="115"/>
      <c r="O195" s="116"/>
      <c r="P195" s="63"/>
      <c r="Q195" s="63"/>
      <c r="R195" s="115"/>
      <c r="S195" s="154"/>
      <c r="T195" s="63"/>
      <c r="U195" s="63"/>
      <c r="V195" s="115"/>
      <c r="W195" s="115"/>
      <c r="X195" s="115"/>
      <c r="Y195" s="115"/>
      <c r="Z195" s="115"/>
    </row>
    <row r="196" spans="1:26" ht="20.100000000000001" customHeight="1" x14ac:dyDescent="0.25">
      <c r="A196" s="115"/>
      <c r="B196" s="116"/>
      <c r="C196" s="116"/>
      <c r="D196" s="115"/>
      <c r="E196" s="116"/>
      <c r="F196" s="148"/>
      <c r="G196" s="149"/>
      <c r="H196" s="229"/>
      <c r="I196" s="229"/>
      <c r="J196" s="150"/>
      <c r="K196" s="115"/>
      <c r="L196" s="116"/>
      <c r="M196" s="115"/>
      <c r="N196" s="115"/>
      <c r="O196" s="116"/>
      <c r="P196" s="63"/>
      <c r="Q196" s="63"/>
      <c r="R196" s="115"/>
      <c r="S196" s="154"/>
      <c r="T196" s="63"/>
      <c r="U196" s="63"/>
      <c r="V196" s="115"/>
      <c r="W196" s="115"/>
      <c r="X196" s="115"/>
      <c r="Y196" s="115"/>
      <c r="Z196" s="115"/>
    </row>
    <row r="197" spans="1:26" ht="20.100000000000001" customHeight="1" x14ac:dyDescent="0.25">
      <c r="A197" s="115"/>
      <c r="B197" s="116"/>
      <c r="C197" s="116"/>
      <c r="D197" s="115"/>
      <c r="E197" s="116"/>
      <c r="F197" s="148"/>
      <c r="G197" s="149"/>
      <c r="H197" s="229"/>
      <c r="I197" s="229"/>
      <c r="J197" s="150"/>
      <c r="K197" s="115"/>
      <c r="L197" s="116"/>
      <c r="M197" s="115"/>
      <c r="N197" s="115"/>
      <c r="O197" s="116"/>
      <c r="P197" s="63"/>
      <c r="Q197" s="63"/>
      <c r="R197" s="115"/>
      <c r="S197" s="154"/>
      <c r="T197" s="63"/>
      <c r="U197" s="63"/>
      <c r="V197" s="115"/>
      <c r="W197" s="115"/>
      <c r="X197" s="115"/>
      <c r="Y197" s="115"/>
      <c r="Z197" s="115"/>
    </row>
    <row r="198" spans="1:26" ht="20.100000000000001" customHeight="1" x14ac:dyDescent="0.25">
      <c r="A198" s="115"/>
      <c r="B198" s="116"/>
      <c r="C198" s="116"/>
      <c r="D198" s="115"/>
      <c r="E198" s="116"/>
      <c r="F198" s="148"/>
      <c r="G198" s="149"/>
      <c r="H198" s="229"/>
      <c r="I198" s="229"/>
      <c r="J198" s="150"/>
      <c r="K198" s="115"/>
      <c r="L198" s="116"/>
      <c r="M198" s="115"/>
      <c r="N198" s="115"/>
      <c r="O198" s="116"/>
      <c r="P198" s="63"/>
      <c r="Q198" s="63"/>
      <c r="R198" s="115"/>
      <c r="S198" s="154"/>
      <c r="T198" s="63"/>
      <c r="U198" s="63"/>
      <c r="V198" s="115"/>
      <c r="W198" s="115"/>
      <c r="X198" s="115"/>
      <c r="Y198" s="115"/>
      <c r="Z198" s="115"/>
    </row>
    <row r="199" spans="1:26" ht="20.100000000000001" customHeight="1" x14ac:dyDescent="0.25">
      <c r="A199" s="115"/>
      <c r="B199" s="116"/>
      <c r="C199" s="116"/>
      <c r="D199" s="115"/>
      <c r="E199" s="116"/>
      <c r="F199" s="148"/>
      <c r="G199" s="149"/>
      <c r="H199" s="229"/>
      <c r="I199" s="229"/>
      <c r="J199" s="150"/>
      <c r="K199" s="115"/>
      <c r="L199" s="116"/>
      <c r="M199" s="115"/>
      <c r="N199" s="115"/>
      <c r="O199" s="116"/>
      <c r="P199" s="63"/>
      <c r="Q199" s="63"/>
      <c r="R199" s="115"/>
      <c r="S199" s="154"/>
      <c r="T199" s="63"/>
      <c r="U199" s="63"/>
      <c r="V199" s="115"/>
      <c r="W199" s="115"/>
      <c r="X199" s="115"/>
      <c r="Y199" s="115"/>
      <c r="Z199" s="115"/>
    </row>
    <row r="200" spans="1:26" ht="20.100000000000001" customHeight="1" x14ac:dyDescent="0.25">
      <c r="A200" s="115"/>
      <c r="B200" s="116"/>
      <c r="C200" s="116"/>
      <c r="D200" s="115"/>
      <c r="E200" s="116"/>
      <c r="F200" s="148"/>
      <c r="G200" s="149"/>
      <c r="H200" s="229"/>
      <c r="I200" s="229"/>
      <c r="J200" s="150"/>
      <c r="K200" s="115"/>
      <c r="L200" s="116"/>
      <c r="M200" s="115"/>
      <c r="N200" s="115"/>
      <c r="O200" s="116"/>
      <c r="P200" s="63"/>
      <c r="Q200" s="63"/>
      <c r="R200" s="115"/>
      <c r="S200" s="154"/>
      <c r="T200" s="63"/>
      <c r="U200" s="63"/>
      <c r="V200" s="115"/>
      <c r="W200" s="115"/>
      <c r="X200" s="115"/>
      <c r="Y200" s="115"/>
      <c r="Z200" s="115"/>
    </row>
    <row r="201" spans="1:26" ht="20.100000000000001" customHeight="1" x14ac:dyDescent="0.25">
      <c r="A201" s="115"/>
      <c r="B201" s="116"/>
      <c r="C201" s="116"/>
      <c r="D201" s="115"/>
      <c r="E201" s="116"/>
      <c r="F201" s="148"/>
      <c r="G201" s="149"/>
      <c r="H201" s="229"/>
      <c r="I201" s="229"/>
      <c r="J201" s="150"/>
      <c r="K201" s="115"/>
      <c r="L201" s="116"/>
      <c r="M201" s="115"/>
      <c r="N201" s="115"/>
      <c r="O201" s="116"/>
      <c r="P201" s="63"/>
      <c r="Q201" s="63"/>
      <c r="R201" s="115"/>
      <c r="S201" s="154"/>
      <c r="T201" s="63"/>
      <c r="U201" s="63"/>
      <c r="V201" s="115"/>
      <c r="W201" s="115"/>
      <c r="X201" s="115"/>
      <c r="Y201" s="115"/>
      <c r="Z201" s="115"/>
    </row>
    <row r="202" spans="1:26" ht="20.100000000000001" customHeight="1" x14ac:dyDescent="0.25">
      <c r="A202" s="115"/>
      <c r="B202" s="116"/>
      <c r="C202" s="116"/>
      <c r="D202" s="115"/>
      <c r="E202" s="116"/>
      <c r="F202" s="148"/>
      <c r="G202" s="149"/>
      <c r="H202" s="229"/>
      <c r="I202" s="229"/>
      <c r="J202" s="150"/>
      <c r="K202" s="115"/>
      <c r="L202" s="116"/>
      <c r="M202" s="115"/>
      <c r="N202" s="115"/>
      <c r="O202" s="116"/>
      <c r="P202" s="63"/>
      <c r="Q202" s="63"/>
      <c r="R202" s="115"/>
      <c r="S202" s="154"/>
      <c r="T202" s="63"/>
      <c r="U202" s="63"/>
      <c r="V202" s="115"/>
      <c r="W202" s="115"/>
      <c r="X202" s="115"/>
      <c r="Y202" s="115"/>
      <c r="Z202" s="115"/>
    </row>
    <row r="203" spans="1:26" ht="20.100000000000001" customHeight="1" x14ac:dyDescent="0.25">
      <c r="A203" s="115"/>
      <c r="B203" s="116"/>
      <c r="C203" s="116"/>
      <c r="D203" s="115"/>
      <c r="E203" s="116"/>
      <c r="F203" s="148"/>
      <c r="G203" s="149"/>
      <c r="H203" s="229"/>
      <c r="I203" s="229"/>
      <c r="J203" s="150"/>
      <c r="K203" s="115"/>
      <c r="L203" s="116"/>
      <c r="M203" s="115"/>
      <c r="N203" s="115"/>
      <c r="O203" s="116"/>
      <c r="P203" s="63"/>
      <c r="Q203" s="63"/>
      <c r="R203" s="115"/>
      <c r="S203" s="154"/>
      <c r="T203" s="63"/>
      <c r="U203" s="63"/>
      <c r="V203" s="115"/>
      <c r="W203" s="115"/>
      <c r="X203" s="115"/>
      <c r="Y203" s="115"/>
      <c r="Z203" s="115"/>
    </row>
    <row r="204" spans="1:26" ht="20.100000000000001" customHeight="1" x14ac:dyDescent="0.25">
      <c r="A204" s="115"/>
      <c r="B204" s="116"/>
      <c r="C204" s="116"/>
      <c r="D204" s="115"/>
      <c r="E204" s="116"/>
      <c r="F204" s="148"/>
      <c r="G204" s="149"/>
      <c r="H204" s="229"/>
      <c r="I204" s="229"/>
      <c r="J204" s="150"/>
      <c r="K204" s="115"/>
      <c r="L204" s="116"/>
      <c r="M204" s="115"/>
      <c r="N204" s="115"/>
      <c r="O204" s="116"/>
      <c r="P204" s="63"/>
      <c r="Q204" s="63"/>
      <c r="R204" s="115"/>
      <c r="S204" s="154"/>
      <c r="T204" s="63"/>
      <c r="U204" s="63"/>
      <c r="V204" s="115"/>
      <c r="W204" s="115"/>
      <c r="X204" s="115"/>
      <c r="Y204" s="115"/>
      <c r="Z204" s="115"/>
    </row>
    <row r="205" spans="1:26" ht="20.100000000000001" customHeight="1" x14ac:dyDescent="0.25">
      <c r="A205" s="115"/>
      <c r="B205" s="116"/>
      <c r="C205" s="116"/>
      <c r="D205" s="115"/>
      <c r="E205" s="116"/>
      <c r="F205" s="148"/>
      <c r="G205" s="149"/>
      <c r="H205" s="229"/>
      <c r="I205" s="229"/>
      <c r="J205" s="150"/>
      <c r="K205" s="115"/>
      <c r="L205" s="116"/>
      <c r="M205" s="115"/>
      <c r="N205" s="115"/>
      <c r="O205" s="116"/>
      <c r="P205" s="63"/>
      <c r="Q205" s="63"/>
      <c r="R205" s="115"/>
      <c r="S205" s="154"/>
      <c r="T205" s="63"/>
      <c r="U205" s="63"/>
      <c r="V205" s="115"/>
      <c r="W205" s="115"/>
      <c r="X205" s="115"/>
      <c r="Y205" s="115"/>
      <c r="Z205" s="115"/>
    </row>
    <row r="206" spans="1:26" ht="20.100000000000001" customHeight="1" x14ac:dyDescent="0.25">
      <c r="A206" s="115"/>
      <c r="B206" s="116"/>
      <c r="C206" s="116"/>
      <c r="D206" s="147"/>
      <c r="E206" s="116"/>
      <c r="F206" s="148"/>
      <c r="G206" s="149"/>
      <c r="H206" s="229"/>
      <c r="I206" s="229"/>
      <c r="J206" s="150"/>
      <c r="K206" s="115"/>
      <c r="L206" s="116"/>
      <c r="M206" s="115"/>
      <c r="N206" s="115"/>
      <c r="O206" s="116"/>
      <c r="P206" s="63"/>
      <c r="Q206" s="63"/>
      <c r="R206" s="115"/>
      <c r="S206" s="154"/>
      <c r="T206" s="63"/>
      <c r="U206" s="63"/>
      <c r="V206" s="115"/>
      <c r="W206" s="115"/>
      <c r="X206" s="115"/>
      <c r="Y206" s="115"/>
      <c r="Z206" s="115"/>
    </row>
    <row r="207" spans="1:26" ht="20.100000000000001" customHeight="1" x14ac:dyDescent="0.25">
      <c r="A207" s="115"/>
      <c r="B207" s="116"/>
      <c r="C207" s="116"/>
      <c r="D207" s="147"/>
      <c r="E207" s="116"/>
      <c r="F207" s="148"/>
      <c r="G207" s="149"/>
      <c r="H207" s="229"/>
      <c r="I207" s="229"/>
      <c r="J207" s="150"/>
      <c r="K207" s="115"/>
      <c r="L207" s="116"/>
      <c r="M207" s="115"/>
      <c r="N207" s="115"/>
      <c r="O207" s="116"/>
      <c r="P207" s="63"/>
      <c r="Q207" s="63"/>
      <c r="R207" s="115"/>
      <c r="S207" s="154"/>
      <c r="T207" s="63"/>
      <c r="U207" s="63"/>
      <c r="V207" s="115"/>
      <c r="W207" s="115"/>
      <c r="X207" s="115"/>
      <c r="Y207" s="115"/>
      <c r="Z207" s="115"/>
    </row>
    <row r="208" spans="1:26" ht="20.100000000000001" customHeight="1" x14ac:dyDescent="0.25">
      <c r="A208" s="115"/>
      <c r="B208" s="116"/>
      <c r="C208" s="116"/>
      <c r="D208" s="115"/>
      <c r="E208" s="116"/>
      <c r="F208" s="148"/>
      <c r="G208" s="149"/>
      <c r="H208" s="229"/>
      <c r="I208" s="229"/>
      <c r="J208" s="150"/>
      <c r="K208" s="115"/>
      <c r="L208" s="116"/>
      <c r="M208" s="115"/>
      <c r="N208" s="115"/>
      <c r="O208" s="116"/>
      <c r="P208" s="63"/>
      <c r="Q208" s="63"/>
      <c r="R208" s="115"/>
      <c r="S208" s="154"/>
      <c r="T208" s="63"/>
      <c r="U208" s="63"/>
      <c r="V208" s="115"/>
      <c r="W208" s="115"/>
      <c r="X208" s="115"/>
      <c r="Y208" s="115"/>
      <c r="Z208" s="115"/>
    </row>
    <row r="209" spans="1:26" ht="20.100000000000001" customHeight="1" x14ac:dyDescent="0.25">
      <c r="A209" s="115"/>
      <c r="B209" s="116"/>
      <c r="C209" s="116"/>
      <c r="D209" s="115"/>
      <c r="E209" s="116"/>
      <c r="F209" s="148"/>
      <c r="G209" s="149"/>
      <c r="H209" s="229"/>
      <c r="I209" s="229"/>
      <c r="J209" s="150"/>
      <c r="K209" s="115"/>
      <c r="L209" s="116"/>
      <c r="M209" s="115"/>
      <c r="N209" s="115"/>
      <c r="O209" s="116"/>
      <c r="P209" s="63"/>
      <c r="Q209" s="63"/>
      <c r="R209" s="115"/>
      <c r="S209" s="154"/>
      <c r="T209" s="63"/>
      <c r="U209" s="63"/>
      <c r="V209" s="115"/>
      <c r="W209" s="115"/>
      <c r="X209" s="115"/>
      <c r="Y209" s="115"/>
      <c r="Z209" s="115"/>
    </row>
    <row r="210" spans="1:26" ht="20.100000000000001" customHeight="1" x14ac:dyDescent="0.25">
      <c r="A210" s="115"/>
      <c r="B210" s="116"/>
      <c r="C210" s="116"/>
      <c r="D210" s="115"/>
      <c r="E210" s="116"/>
      <c r="F210" s="148"/>
      <c r="G210" s="149"/>
      <c r="H210" s="229"/>
      <c r="I210" s="229"/>
      <c r="J210" s="150"/>
      <c r="K210" s="115"/>
      <c r="L210" s="116"/>
      <c r="M210" s="115"/>
      <c r="N210" s="115"/>
      <c r="O210" s="116"/>
      <c r="P210" s="63"/>
      <c r="Q210" s="63"/>
      <c r="R210" s="115"/>
      <c r="S210" s="154"/>
      <c r="T210" s="63"/>
      <c r="U210" s="63"/>
      <c r="V210" s="115"/>
      <c r="W210" s="115"/>
      <c r="X210" s="115"/>
      <c r="Y210" s="115"/>
      <c r="Z210" s="115"/>
    </row>
    <row r="211" spans="1:26" s="12" customFormat="1" ht="20.100000000000001" customHeight="1" x14ac:dyDescent="0.25">
      <c r="A211" s="115"/>
      <c r="B211" s="116"/>
      <c r="C211" s="116"/>
      <c r="D211" s="115"/>
      <c r="E211" s="116"/>
      <c r="F211" s="148"/>
      <c r="G211" s="149"/>
      <c r="H211" s="229"/>
      <c r="I211" s="229"/>
      <c r="J211" s="150"/>
      <c r="K211" s="115"/>
      <c r="L211" s="116"/>
      <c r="M211" s="115"/>
      <c r="N211" s="115"/>
      <c r="O211" s="116"/>
      <c r="P211" s="63"/>
      <c r="Q211" s="63"/>
      <c r="R211" s="115"/>
      <c r="S211" s="154"/>
      <c r="T211" s="63"/>
      <c r="U211" s="63"/>
      <c r="V211" s="115"/>
      <c r="W211" s="115"/>
      <c r="X211" s="115"/>
      <c r="Y211" s="115"/>
      <c r="Z211" s="115"/>
    </row>
    <row r="212" spans="1:26" ht="20.100000000000001" customHeight="1" x14ac:dyDescent="0.25">
      <c r="A212" s="145"/>
      <c r="B212" s="141"/>
      <c r="C212" s="141"/>
      <c r="D212" s="145"/>
      <c r="E212" s="141"/>
      <c r="F212" s="142"/>
      <c r="G212" s="143"/>
      <c r="H212" s="228"/>
      <c r="I212" s="228"/>
      <c r="J212" s="144"/>
      <c r="K212" s="145"/>
      <c r="L212" s="141"/>
      <c r="M212" s="145"/>
      <c r="N212" s="145"/>
      <c r="O212" s="141"/>
      <c r="P212" s="146"/>
      <c r="Q212" s="146"/>
      <c r="R212" s="145"/>
      <c r="S212" s="158"/>
      <c r="T212" s="146"/>
      <c r="U212" s="146"/>
      <c r="V212" s="145"/>
      <c r="W212" s="145"/>
      <c r="X212" s="145"/>
      <c r="Y212" s="145"/>
      <c r="Z212" s="145"/>
    </row>
    <row r="213" spans="1:26" ht="20.100000000000001" customHeight="1" x14ac:dyDescent="0.25">
      <c r="A213" s="145"/>
      <c r="B213" s="141"/>
      <c r="C213" s="141"/>
      <c r="D213" s="145"/>
      <c r="E213" s="141"/>
      <c r="F213" s="142"/>
      <c r="G213" s="143"/>
      <c r="H213" s="228"/>
      <c r="I213" s="228"/>
      <c r="J213" s="144"/>
      <c r="K213" s="145"/>
      <c r="L213" s="141"/>
      <c r="M213" s="145"/>
      <c r="N213" s="145"/>
      <c r="O213" s="141"/>
      <c r="P213" s="146"/>
      <c r="Q213" s="146"/>
      <c r="R213" s="145"/>
      <c r="S213" s="158"/>
      <c r="T213" s="146"/>
      <c r="U213" s="146"/>
      <c r="V213" s="145"/>
      <c r="W213" s="145"/>
      <c r="X213" s="145"/>
      <c r="Y213" s="145"/>
      <c r="Z213" s="145"/>
    </row>
    <row r="214" spans="1:26" ht="20.100000000000001" customHeight="1" x14ac:dyDescent="0.25">
      <c r="A214" s="145"/>
      <c r="B214" s="141"/>
      <c r="C214" s="141"/>
      <c r="D214" s="145"/>
      <c r="E214" s="141"/>
      <c r="F214" s="142"/>
      <c r="G214" s="143"/>
      <c r="H214" s="228"/>
      <c r="I214" s="228"/>
      <c r="J214" s="144"/>
      <c r="K214" s="145"/>
      <c r="L214" s="141"/>
      <c r="M214" s="145"/>
      <c r="N214" s="145"/>
      <c r="O214" s="141"/>
      <c r="P214" s="146"/>
      <c r="Q214" s="146"/>
      <c r="R214" s="145"/>
      <c r="S214" s="158"/>
      <c r="T214" s="146"/>
      <c r="U214" s="146"/>
      <c r="V214" s="145"/>
      <c r="W214" s="145"/>
      <c r="X214" s="145"/>
      <c r="Y214" s="145"/>
      <c r="Z214" s="145"/>
    </row>
    <row r="215" spans="1:26" ht="20.100000000000001" customHeight="1" x14ac:dyDescent="0.25">
      <c r="A215" s="145"/>
      <c r="B215" s="141"/>
      <c r="C215" s="141"/>
      <c r="D215" s="145"/>
      <c r="E215" s="141"/>
      <c r="F215" s="142"/>
      <c r="G215" s="143"/>
      <c r="H215" s="228"/>
      <c r="I215" s="228"/>
      <c r="J215" s="144"/>
      <c r="K215" s="145"/>
      <c r="L215" s="141"/>
      <c r="M215" s="145"/>
      <c r="N215" s="145"/>
      <c r="O215" s="141"/>
      <c r="P215" s="146"/>
      <c r="Q215" s="146"/>
      <c r="R215" s="145"/>
      <c r="S215" s="158"/>
      <c r="T215" s="146"/>
      <c r="U215" s="146"/>
      <c r="V215" s="145"/>
      <c r="W215" s="145"/>
      <c r="X215" s="145"/>
      <c r="Y215" s="145"/>
      <c r="Z215" s="145"/>
    </row>
    <row r="216" spans="1:26" ht="20.100000000000001" customHeight="1" x14ac:dyDescent="0.25">
      <c r="A216" s="145"/>
      <c r="B216" s="141"/>
      <c r="C216" s="141"/>
      <c r="D216" s="145"/>
      <c r="E216" s="141"/>
      <c r="F216" s="142"/>
      <c r="G216" s="143"/>
      <c r="H216" s="228"/>
      <c r="I216" s="228"/>
      <c r="J216" s="144"/>
      <c r="K216" s="145"/>
      <c r="L216" s="141"/>
      <c r="M216" s="145"/>
      <c r="N216" s="145"/>
      <c r="O216" s="141"/>
      <c r="P216" s="146"/>
      <c r="Q216" s="146"/>
      <c r="R216" s="145"/>
      <c r="S216" s="158"/>
      <c r="T216" s="146"/>
      <c r="U216" s="146"/>
      <c r="V216" s="145"/>
      <c r="W216" s="145"/>
      <c r="X216" s="145"/>
      <c r="Y216" s="145"/>
      <c r="Z216" s="145"/>
    </row>
    <row r="217" spans="1:26" ht="20.100000000000001" customHeight="1" x14ac:dyDescent="0.25">
      <c r="A217" s="145"/>
      <c r="B217" s="141"/>
      <c r="C217" s="141"/>
      <c r="D217" s="145"/>
      <c r="E217" s="141"/>
      <c r="F217" s="142"/>
      <c r="G217" s="143"/>
      <c r="H217" s="228"/>
      <c r="I217" s="228"/>
      <c r="J217" s="144"/>
      <c r="K217" s="145"/>
      <c r="L217" s="141"/>
      <c r="M217" s="145"/>
      <c r="N217" s="145"/>
      <c r="O217" s="141"/>
      <c r="P217" s="146"/>
      <c r="Q217" s="146"/>
      <c r="R217" s="145"/>
      <c r="S217" s="158"/>
      <c r="T217" s="146"/>
      <c r="U217" s="146"/>
      <c r="V217" s="145"/>
      <c r="W217" s="145"/>
      <c r="X217" s="145"/>
      <c r="Y217" s="145"/>
      <c r="Z217" s="145"/>
    </row>
    <row r="218" spans="1:26" ht="20.100000000000001" customHeight="1" x14ac:dyDescent="0.25">
      <c r="A218" s="145"/>
      <c r="B218" s="141"/>
      <c r="C218" s="141"/>
      <c r="D218" s="145"/>
      <c r="E218" s="141"/>
      <c r="F218" s="142"/>
      <c r="G218" s="143"/>
      <c r="H218" s="228"/>
      <c r="I218" s="228"/>
      <c r="J218" s="144"/>
      <c r="K218" s="145"/>
      <c r="L218" s="141"/>
      <c r="M218" s="145"/>
      <c r="N218" s="145"/>
      <c r="O218" s="141"/>
      <c r="P218" s="146"/>
      <c r="Q218" s="146"/>
      <c r="R218" s="145"/>
      <c r="S218" s="158"/>
      <c r="T218" s="146"/>
      <c r="U218" s="146"/>
      <c r="V218" s="145"/>
      <c r="W218" s="145"/>
      <c r="X218" s="145"/>
      <c r="Y218" s="145"/>
      <c r="Z218" s="145"/>
    </row>
    <row r="219" spans="1:26" ht="20.100000000000001" customHeight="1" x14ac:dyDescent="0.25">
      <c r="A219" s="145"/>
      <c r="B219" s="141"/>
      <c r="C219" s="141"/>
      <c r="D219" s="145"/>
      <c r="E219" s="141"/>
      <c r="F219" s="142"/>
      <c r="G219" s="143"/>
      <c r="H219" s="228"/>
      <c r="I219" s="228"/>
      <c r="J219" s="144"/>
      <c r="K219" s="145"/>
      <c r="L219" s="141"/>
      <c r="M219" s="145"/>
      <c r="N219" s="145"/>
      <c r="O219" s="141"/>
      <c r="P219" s="146"/>
      <c r="Q219" s="146"/>
      <c r="R219" s="145"/>
      <c r="S219" s="158"/>
      <c r="T219" s="146"/>
      <c r="U219" s="146"/>
      <c r="V219" s="145"/>
      <c r="W219" s="145"/>
      <c r="X219" s="145"/>
      <c r="Y219" s="145"/>
      <c r="Z219" s="145"/>
    </row>
    <row r="220" spans="1:26" ht="20.100000000000001" customHeight="1" x14ac:dyDescent="0.25">
      <c r="A220" s="145"/>
      <c r="B220" s="141"/>
      <c r="C220" s="141"/>
      <c r="D220" s="140"/>
      <c r="E220" s="141"/>
      <c r="F220" s="142"/>
      <c r="G220" s="143"/>
      <c r="H220" s="228"/>
      <c r="I220" s="228"/>
      <c r="J220" s="144"/>
      <c r="K220" s="145"/>
      <c r="L220" s="141"/>
      <c r="M220" s="145"/>
      <c r="N220" s="145"/>
      <c r="O220" s="141"/>
      <c r="P220" s="146"/>
      <c r="Q220" s="146"/>
      <c r="R220" s="145"/>
      <c r="S220" s="158"/>
      <c r="T220" s="146"/>
      <c r="U220" s="146"/>
      <c r="V220" s="145"/>
      <c r="W220" s="145"/>
      <c r="X220" s="145"/>
      <c r="Y220" s="145"/>
      <c r="Z220" s="145"/>
    </row>
    <row r="221" spans="1:26" ht="20.100000000000001" customHeight="1" x14ac:dyDescent="0.25">
      <c r="A221" s="145"/>
      <c r="B221" s="141"/>
      <c r="C221" s="141"/>
      <c r="D221" s="145"/>
      <c r="E221" s="141"/>
      <c r="F221" s="142"/>
      <c r="G221" s="143"/>
      <c r="H221" s="228"/>
      <c r="I221" s="228"/>
      <c r="J221" s="144"/>
      <c r="K221" s="145"/>
      <c r="L221" s="141"/>
      <c r="M221" s="145"/>
      <c r="N221" s="145"/>
      <c r="O221" s="141"/>
      <c r="P221" s="146"/>
      <c r="Q221" s="146"/>
      <c r="R221" s="145"/>
      <c r="S221" s="158"/>
      <c r="T221" s="146"/>
      <c r="U221" s="146"/>
      <c r="V221" s="145"/>
      <c r="W221" s="145"/>
      <c r="X221" s="145"/>
      <c r="Y221" s="145"/>
      <c r="Z221" s="145"/>
    </row>
    <row r="222" spans="1:26" ht="20.100000000000001" customHeight="1" x14ac:dyDescent="0.25">
      <c r="A222" s="145"/>
      <c r="B222" s="141"/>
      <c r="C222" s="141"/>
      <c r="D222" s="145"/>
      <c r="E222" s="141"/>
      <c r="F222" s="142"/>
      <c r="G222" s="143"/>
      <c r="H222" s="228"/>
      <c r="I222" s="228"/>
      <c r="J222" s="144"/>
      <c r="K222" s="145"/>
      <c r="L222" s="141"/>
      <c r="M222" s="145"/>
      <c r="N222" s="145"/>
      <c r="O222" s="141"/>
      <c r="P222" s="146"/>
      <c r="Q222" s="146"/>
      <c r="R222" s="145"/>
      <c r="S222" s="158"/>
      <c r="T222" s="146"/>
      <c r="U222" s="146"/>
      <c r="V222" s="145"/>
      <c r="W222" s="145"/>
      <c r="X222" s="145"/>
      <c r="Y222" s="145"/>
      <c r="Z222" s="145"/>
    </row>
    <row r="223" spans="1:26" ht="20.100000000000001" customHeight="1" x14ac:dyDescent="0.25">
      <c r="A223" s="145"/>
      <c r="B223" s="141"/>
      <c r="C223" s="141"/>
      <c r="D223" s="145"/>
      <c r="E223" s="141"/>
      <c r="F223" s="142"/>
      <c r="G223" s="143"/>
      <c r="H223" s="228"/>
      <c r="I223" s="228"/>
      <c r="J223" s="144"/>
      <c r="K223" s="145"/>
      <c r="L223" s="141"/>
      <c r="M223" s="145"/>
      <c r="N223" s="145"/>
      <c r="O223" s="141"/>
      <c r="P223" s="146"/>
      <c r="Q223" s="146"/>
      <c r="R223" s="145"/>
      <c r="S223" s="158"/>
      <c r="T223" s="146"/>
      <c r="U223" s="146"/>
      <c r="V223" s="145"/>
      <c r="W223" s="145"/>
      <c r="X223" s="145"/>
      <c r="Y223" s="145"/>
      <c r="Z223" s="145"/>
    </row>
    <row r="224" spans="1:26" ht="20.100000000000001" customHeight="1" x14ac:dyDescent="0.25">
      <c r="A224" s="145"/>
      <c r="B224" s="141"/>
      <c r="C224" s="141"/>
      <c r="D224" s="140"/>
      <c r="E224" s="141"/>
      <c r="F224" s="142"/>
      <c r="G224" s="143"/>
      <c r="H224" s="228"/>
      <c r="I224" s="228"/>
      <c r="J224" s="144"/>
      <c r="K224" s="145"/>
      <c r="L224" s="141"/>
      <c r="M224" s="145"/>
      <c r="N224" s="145"/>
      <c r="O224" s="141"/>
      <c r="P224" s="146"/>
      <c r="Q224" s="146"/>
      <c r="R224" s="145"/>
      <c r="S224" s="158"/>
      <c r="T224" s="146"/>
      <c r="U224" s="146"/>
      <c r="V224" s="145"/>
      <c r="W224" s="145"/>
      <c r="X224" s="145"/>
      <c r="Y224" s="145"/>
      <c r="Z224" s="145"/>
    </row>
    <row r="225" spans="1:26" ht="20.100000000000001" customHeight="1" x14ac:dyDescent="0.25">
      <c r="A225" s="145"/>
      <c r="B225" s="141"/>
      <c r="C225" s="141"/>
      <c r="D225" s="140"/>
      <c r="E225" s="141"/>
      <c r="F225" s="142"/>
      <c r="G225" s="143"/>
      <c r="H225" s="228"/>
      <c r="I225" s="228"/>
      <c r="J225" s="144"/>
      <c r="K225" s="145"/>
      <c r="L225" s="141"/>
      <c r="M225" s="145"/>
      <c r="N225" s="145"/>
      <c r="O225" s="141"/>
      <c r="P225" s="146"/>
      <c r="Q225" s="146"/>
      <c r="R225" s="145"/>
      <c r="S225" s="158"/>
      <c r="T225" s="146"/>
      <c r="U225" s="146"/>
      <c r="V225" s="145"/>
      <c r="W225" s="145"/>
      <c r="X225" s="145"/>
      <c r="Y225" s="145"/>
      <c r="Z225" s="145"/>
    </row>
    <row r="226" spans="1:26" ht="20.100000000000001" customHeight="1" x14ac:dyDescent="0.25">
      <c r="A226" s="115"/>
      <c r="B226" s="116"/>
      <c r="C226" s="116"/>
      <c r="D226" s="115"/>
      <c r="E226" s="116"/>
      <c r="F226" s="148"/>
      <c r="G226" s="149"/>
      <c r="H226" s="229"/>
      <c r="I226" s="229"/>
      <c r="J226" s="150"/>
      <c r="K226" s="115"/>
      <c r="L226" s="116"/>
      <c r="M226" s="115"/>
      <c r="N226" s="115"/>
      <c r="O226" s="116"/>
      <c r="P226" s="63"/>
      <c r="Q226" s="63"/>
      <c r="R226" s="115"/>
      <c r="S226" s="154"/>
      <c r="T226" s="63"/>
      <c r="U226" s="63"/>
      <c r="V226" s="115"/>
      <c r="W226" s="115"/>
      <c r="X226" s="115"/>
      <c r="Y226" s="115"/>
      <c r="Z226" s="115"/>
    </row>
    <row r="227" spans="1:26" ht="20.100000000000001" customHeight="1" x14ac:dyDescent="0.25">
      <c r="A227" s="115"/>
      <c r="B227" s="116"/>
      <c r="C227" s="116"/>
      <c r="D227" s="115"/>
      <c r="E227" s="116"/>
      <c r="F227" s="148"/>
      <c r="G227" s="149"/>
      <c r="H227" s="229"/>
      <c r="I227" s="229"/>
      <c r="J227" s="150"/>
      <c r="K227" s="115"/>
      <c r="L227" s="116"/>
      <c r="M227" s="115"/>
      <c r="N227" s="115"/>
      <c r="O227" s="116"/>
      <c r="P227" s="63"/>
      <c r="Q227" s="63"/>
      <c r="R227" s="115"/>
      <c r="S227" s="154"/>
      <c r="T227" s="63"/>
      <c r="U227" s="63"/>
      <c r="V227" s="115"/>
      <c r="W227" s="115"/>
      <c r="X227" s="115"/>
      <c r="Y227" s="115"/>
      <c r="Z227" s="115"/>
    </row>
    <row r="228" spans="1:26" ht="20.100000000000001" customHeight="1" x14ac:dyDescent="0.25">
      <c r="A228" s="115"/>
      <c r="B228" s="116"/>
      <c r="C228" s="116"/>
      <c r="D228" s="147"/>
      <c r="E228" s="116"/>
      <c r="F228" s="148"/>
      <c r="G228" s="149"/>
      <c r="H228" s="229"/>
      <c r="I228" s="229"/>
      <c r="J228" s="150"/>
      <c r="K228" s="115"/>
      <c r="L228" s="116"/>
      <c r="M228" s="115"/>
      <c r="N228" s="115"/>
      <c r="O228" s="116"/>
      <c r="P228" s="63"/>
      <c r="Q228" s="63"/>
      <c r="R228" s="115"/>
      <c r="S228" s="154"/>
      <c r="T228" s="63"/>
      <c r="U228" s="63"/>
      <c r="V228" s="115"/>
      <c r="W228" s="115"/>
      <c r="X228" s="115"/>
      <c r="Y228" s="115"/>
      <c r="Z228" s="115"/>
    </row>
    <row r="229" spans="1:26" ht="20.100000000000001" customHeight="1" x14ac:dyDescent="0.25">
      <c r="A229" s="115"/>
      <c r="B229" s="116"/>
      <c r="C229" s="116"/>
      <c r="D229" s="147"/>
      <c r="E229" s="116"/>
      <c r="F229" s="148"/>
      <c r="G229" s="149"/>
      <c r="H229" s="229"/>
      <c r="I229" s="229"/>
      <c r="J229" s="150"/>
      <c r="K229" s="115"/>
      <c r="L229" s="116"/>
      <c r="M229" s="115"/>
      <c r="N229" s="115"/>
      <c r="O229" s="116"/>
      <c r="P229" s="63"/>
      <c r="Q229" s="63"/>
      <c r="R229" s="115"/>
      <c r="S229" s="154"/>
      <c r="T229" s="63"/>
      <c r="U229" s="63"/>
      <c r="V229" s="115"/>
      <c r="W229" s="115"/>
      <c r="X229" s="115"/>
      <c r="Y229" s="115"/>
      <c r="Z229" s="115"/>
    </row>
    <row r="230" spans="1:26" ht="20.100000000000001" customHeight="1" x14ac:dyDescent="0.25">
      <c r="A230" s="115"/>
      <c r="B230" s="116"/>
      <c r="C230" s="116"/>
      <c r="D230" s="115"/>
      <c r="E230" s="116"/>
      <c r="F230" s="148"/>
      <c r="G230" s="149"/>
      <c r="H230" s="229"/>
      <c r="I230" s="229"/>
      <c r="J230" s="150"/>
      <c r="K230" s="115"/>
      <c r="L230" s="116"/>
      <c r="M230" s="115"/>
      <c r="N230" s="115"/>
      <c r="O230" s="116"/>
      <c r="P230" s="63"/>
      <c r="Q230" s="63"/>
      <c r="R230" s="115"/>
      <c r="S230" s="154"/>
      <c r="T230" s="63"/>
      <c r="U230" s="63"/>
      <c r="V230" s="115"/>
      <c r="W230" s="115"/>
      <c r="X230" s="115"/>
      <c r="Y230" s="115"/>
      <c r="Z230" s="115"/>
    </row>
    <row r="231" spans="1:26" ht="20.100000000000001" customHeight="1" x14ac:dyDescent="0.25">
      <c r="A231" s="115"/>
      <c r="B231" s="116"/>
      <c r="C231" s="116"/>
      <c r="D231" s="115"/>
      <c r="E231" s="116"/>
      <c r="F231" s="148"/>
      <c r="G231" s="149"/>
      <c r="H231" s="229"/>
      <c r="I231" s="229"/>
      <c r="J231" s="150"/>
      <c r="K231" s="115"/>
      <c r="L231" s="116"/>
      <c r="M231" s="115"/>
      <c r="N231" s="115"/>
      <c r="O231" s="116"/>
      <c r="P231" s="63"/>
      <c r="Q231" s="63"/>
      <c r="R231" s="115"/>
      <c r="S231" s="154"/>
      <c r="T231" s="63"/>
      <c r="U231" s="63"/>
      <c r="V231" s="115"/>
      <c r="W231" s="115"/>
      <c r="X231" s="115"/>
      <c r="Y231" s="115"/>
      <c r="Z231" s="115"/>
    </row>
    <row r="232" spans="1:26" ht="20.100000000000001" customHeight="1" x14ac:dyDescent="0.25">
      <c r="A232" s="115"/>
      <c r="B232" s="116"/>
      <c r="C232" s="116"/>
      <c r="D232" s="115"/>
      <c r="E232" s="116"/>
      <c r="F232" s="148"/>
      <c r="G232" s="149"/>
      <c r="H232" s="229"/>
      <c r="I232" s="229"/>
      <c r="J232" s="150"/>
      <c r="K232" s="115"/>
      <c r="L232" s="116"/>
      <c r="M232" s="115"/>
      <c r="N232" s="115"/>
      <c r="O232" s="116"/>
      <c r="P232" s="63"/>
      <c r="Q232" s="63"/>
      <c r="R232" s="115"/>
      <c r="S232" s="154"/>
      <c r="T232" s="63"/>
      <c r="U232" s="63"/>
      <c r="V232" s="115"/>
      <c r="W232" s="115"/>
      <c r="X232" s="115"/>
      <c r="Y232" s="115"/>
      <c r="Z232" s="115"/>
    </row>
    <row r="233" spans="1:26" ht="20.100000000000001" customHeight="1" x14ac:dyDescent="0.25">
      <c r="A233" s="115"/>
      <c r="B233" s="116"/>
      <c r="C233" s="116"/>
      <c r="D233" s="115"/>
      <c r="E233" s="116"/>
      <c r="F233" s="148"/>
      <c r="G233" s="149"/>
      <c r="H233" s="229"/>
      <c r="I233" s="229"/>
      <c r="J233" s="150"/>
      <c r="K233" s="115"/>
      <c r="L233" s="116"/>
      <c r="M233" s="115"/>
      <c r="N233" s="115"/>
      <c r="O233" s="116"/>
      <c r="P233" s="63"/>
      <c r="Q233" s="63"/>
      <c r="R233" s="115"/>
      <c r="S233" s="154"/>
      <c r="T233" s="63"/>
      <c r="U233" s="63"/>
      <c r="V233" s="115"/>
      <c r="W233" s="115"/>
      <c r="X233" s="115"/>
      <c r="Y233" s="115"/>
      <c r="Z233" s="115"/>
    </row>
    <row r="234" spans="1:26" ht="20.100000000000001" customHeight="1" x14ac:dyDescent="0.25">
      <c r="A234" s="115"/>
      <c r="B234" s="116"/>
      <c r="C234" s="116"/>
      <c r="D234" s="115"/>
      <c r="E234" s="116"/>
      <c r="F234" s="148"/>
      <c r="G234" s="149"/>
      <c r="H234" s="229"/>
      <c r="I234" s="229"/>
      <c r="J234" s="150"/>
      <c r="K234" s="115"/>
      <c r="L234" s="116"/>
      <c r="M234" s="115"/>
      <c r="N234" s="115"/>
      <c r="O234" s="116"/>
      <c r="P234" s="163"/>
      <c r="Q234" s="163"/>
      <c r="R234" s="115"/>
      <c r="S234" s="154"/>
      <c r="T234" s="63"/>
      <c r="U234" s="63"/>
      <c r="V234" s="115"/>
      <c r="W234" s="115"/>
      <c r="X234" s="115"/>
      <c r="Y234" s="115"/>
      <c r="Z234" s="115"/>
    </row>
    <row r="235" spans="1:26" x14ac:dyDescent="0.25">
      <c r="P235" s="170"/>
      <c r="Q235" s="170"/>
    </row>
  </sheetData>
  <autoFilter ref="A5:AA36"/>
  <mergeCells count="34">
    <mergeCell ref="U4:U5"/>
    <mergeCell ref="V4:Y4"/>
    <mergeCell ref="Z4:Z5"/>
    <mergeCell ref="A2:Z2"/>
    <mergeCell ref="A3:Z3"/>
    <mergeCell ref="D4:D5"/>
    <mergeCell ref="E4:E5"/>
    <mergeCell ref="F4:F5"/>
    <mergeCell ref="G4:G5"/>
    <mergeCell ref="J4:J5"/>
    <mergeCell ref="K4:K5"/>
    <mergeCell ref="L4:R4"/>
    <mergeCell ref="S4:S5"/>
    <mergeCell ref="C15:C19"/>
    <mergeCell ref="E15:E19"/>
    <mergeCell ref="F15:F19"/>
    <mergeCell ref="H4:H5"/>
    <mergeCell ref="I4:I5"/>
    <mergeCell ref="A1:Z1"/>
    <mergeCell ref="A29:A34"/>
    <mergeCell ref="A35:D35"/>
    <mergeCell ref="C39:C40"/>
    <mergeCell ref="D39:L39"/>
    <mergeCell ref="D40:L40"/>
    <mergeCell ref="A21:A26"/>
    <mergeCell ref="C21:C26"/>
    <mergeCell ref="E21:E26"/>
    <mergeCell ref="F21:F26"/>
    <mergeCell ref="A27:A28"/>
    <mergeCell ref="A7:A8"/>
    <mergeCell ref="A9:A11"/>
    <mergeCell ref="A12:A13"/>
    <mergeCell ref="A15:A19"/>
    <mergeCell ref="T4:T5"/>
  </mergeCells>
  <pageMargins left="0.37" right="0.24" top="0.56000000000000005" bottom="0.17" header="0.5" footer="0.17"/>
  <pageSetup paperSize="9"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4"/>
  <sheetViews>
    <sheetView zoomScale="85" zoomScaleNormal="85" workbookViewId="0">
      <pane xSplit="4" ySplit="5" topLeftCell="E29" activePane="bottomRight" state="frozen"/>
      <selection activeCell="T7" sqref="T7:T32"/>
      <selection pane="topRight" activeCell="T7" sqref="T7:T32"/>
      <selection pane="bottomLeft" activeCell="T7" sqref="T7:T32"/>
      <selection pane="bottomRight" activeCell="D29" sqref="D29"/>
    </sheetView>
  </sheetViews>
  <sheetFormatPr defaultRowHeight="17.25" x14ac:dyDescent="0.3"/>
  <cols>
    <col min="1" max="1" width="6.140625" style="63" customWidth="1"/>
    <col min="2" max="3" width="8.85546875" style="41" hidden="1" customWidth="1"/>
    <col min="4" max="4" width="33.140625" style="10" customWidth="1"/>
    <col min="5" max="5" width="9.28515625" style="43" hidden="1" customWidth="1"/>
    <col min="6" max="6" width="15.5703125" style="9" customWidth="1"/>
    <col min="7" max="7" width="18.140625" style="9" customWidth="1"/>
    <col min="8" max="8" width="14.42578125" style="9" customWidth="1"/>
    <col min="9" max="9" width="17.5703125" style="4" customWidth="1"/>
    <col min="10" max="10" width="18.5703125" style="41" hidden="1" customWidth="1"/>
    <col min="11" max="11" width="10.42578125" style="4" customWidth="1"/>
    <col min="12" max="12" width="10" style="4" customWidth="1"/>
    <col min="13" max="13" width="12" style="41" hidden="1" customWidth="1"/>
    <col min="14" max="14" width="13.5703125" style="61" customWidth="1"/>
    <col min="15" max="15" width="13.5703125" style="53" customWidth="1"/>
    <col min="16" max="16" width="13" style="4" customWidth="1"/>
    <col min="17" max="17" width="13" style="22" customWidth="1"/>
    <col min="18" max="18" width="13" style="4" customWidth="1"/>
    <col min="19" max="19" width="13" style="63" customWidth="1"/>
    <col min="20" max="20" width="21" style="4" customWidth="1"/>
    <col min="21" max="21" width="23.42578125" style="4" customWidth="1"/>
    <col min="22" max="22" width="20.5703125" style="4" customWidth="1"/>
    <col min="23" max="23" width="19.85546875" style="4" customWidth="1"/>
    <col min="24" max="24" width="20" style="4" customWidth="1"/>
    <col min="25" max="16384" width="9.140625" style="4"/>
  </cols>
  <sheetData>
    <row r="1" spans="1:26" x14ac:dyDescent="0.3">
      <c r="A1" s="338" t="s">
        <v>224</v>
      </c>
      <c r="B1" s="338"/>
      <c r="C1" s="338"/>
      <c r="D1" s="338"/>
      <c r="E1" s="338"/>
      <c r="F1" s="338"/>
      <c r="G1" s="338"/>
      <c r="H1" s="338"/>
      <c r="I1" s="338"/>
      <c r="J1" s="338"/>
      <c r="K1" s="338"/>
      <c r="L1" s="338"/>
      <c r="M1" s="338"/>
      <c r="N1" s="338"/>
      <c r="O1" s="338"/>
      <c r="P1" s="338"/>
      <c r="Q1" s="338"/>
      <c r="R1" s="338"/>
      <c r="S1" s="338"/>
      <c r="T1" s="338"/>
      <c r="U1" s="338"/>
      <c r="V1" s="338"/>
      <c r="W1" s="338"/>
      <c r="X1" s="338"/>
    </row>
    <row r="2" spans="1:26" s="29" customFormat="1" ht="41.25" customHeight="1" x14ac:dyDescent="0.3">
      <c r="A2" s="348" t="s">
        <v>258</v>
      </c>
      <c r="B2" s="348"/>
      <c r="C2" s="348"/>
      <c r="D2" s="348"/>
      <c r="E2" s="348"/>
      <c r="F2" s="348"/>
      <c r="G2" s="348"/>
      <c r="H2" s="348"/>
      <c r="I2" s="348"/>
      <c r="J2" s="348"/>
      <c r="K2" s="348"/>
      <c r="L2" s="348"/>
      <c r="M2" s="348"/>
      <c r="N2" s="348"/>
      <c r="O2" s="348"/>
      <c r="P2" s="348"/>
      <c r="Q2" s="348"/>
      <c r="R2" s="348"/>
      <c r="S2" s="348"/>
      <c r="T2" s="348"/>
      <c r="U2" s="348"/>
      <c r="V2" s="348"/>
      <c r="W2" s="348"/>
      <c r="X2" s="348"/>
    </row>
    <row r="3" spans="1:26" s="29" customFormat="1" ht="33" customHeight="1" x14ac:dyDescent="0.3">
      <c r="A3" s="318" t="s">
        <v>261</v>
      </c>
      <c r="B3" s="318"/>
      <c r="C3" s="318"/>
      <c r="D3" s="319"/>
      <c r="E3" s="319"/>
      <c r="F3" s="319"/>
      <c r="G3" s="319"/>
      <c r="H3" s="319"/>
      <c r="I3" s="319"/>
      <c r="J3" s="319"/>
      <c r="K3" s="318"/>
      <c r="L3" s="318"/>
      <c r="M3" s="320"/>
      <c r="N3" s="320"/>
      <c r="O3" s="320"/>
      <c r="P3" s="321"/>
      <c r="Q3" s="321"/>
      <c r="R3" s="320"/>
      <c r="S3" s="320"/>
      <c r="T3" s="320"/>
      <c r="U3" s="320"/>
      <c r="V3" s="320"/>
      <c r="W3" s="320"/>
      <c r="X3" s="320"/>
      <c r="Y3" s="320"/>
      <c r="Z3" s="320"/>
    </row>
    <row r="4" spans="1:26" ht="20.100000000000001" customHeight="1" x14ac:dyDescent="0.3">
      <c r="A4" s="341" t="s">
        <v>0</v>
      </c>
      <c r="B4" s="324" t="s">
        <v>27</v>
      </c>
      <c r="C4" s="201"/>
      <c r="D4" s="312" t="s">
        <v>168</v>
      </c>
      <c r="E4" s="324" t="s">
        <v>26</v>
      </c>
      <c r="F4" s="312" t="s">
        <v>128</v>
      </c>
      <c r="G4" s="312" t="s">
        <v>95</v>
      </c>
      <c r="H4" s="312" t="s">
        <v>31</v>
      </c>
      <c r="I4" s="341" t="s">
        <v>4</v>
      </c>
      <c r="J4" s="345" t="s">
        <v>5</v>
      </c>
      <c r="K4" s="347" t="s">
        <v>25</v>
      </c>
      <c r="L4" s="347"/>
      <c r="M4" s="347"/>
      <c r="N4" s="347"/>
      <c r="O4" s="347"/>
      <c r="P4" s="347"/>
      <c r="Q4" s="358" t="s">
        <v>44</v>
      </c>
      <c r="R4" s="322" t="s">
        <v>45</v>
      </c>
      <c r="S4" s="322" t="s">
        <v>46</v>
      </c>
      <c r="T4" s="316" t="s">
        <v>47</v>
      </c>
      <c r="U4" s="316"/>
      <c r="V4" s="316"/>
      <c r="W4" s="316"/>
      <c r="X4" s="316" t="s">
        <v>52</v>
      </c>
    </row>
    <row r="5" spans="1:26" ht="59.25" customHeight="1" x14ac:dyDescent="0.3">
      <c r="A5" s="342"/>
      <c r="B5" s="343"/>
      <c r="C5" s="205" t="s">
        <v>91</v>
      </c>
      <c r="D5" s="313"/>
      <c r="E5" s="325"/>
      <c r="F5" s="313"/>
      <c r="G5" s="313"/>
      <c r="H5" s="344"/>
      <c r="I5" s="342"/>
      <c r="J5" s="346"/>
      <c r="K5" s="206" t="s">
        <v>225</v>
      </c>
      <c r="L5" s="206" t="s">
        <v>226</v>
      </c>
      <c r="M5" s="36" t="s">
        <v>29</v>
      </c>
      <c r="N5" s="56" t="s">
        <v>28</v>
      </c>
      <c r="O5" s="50" t="s">
        <v>38</v>
      </c>
      <c r="P5" s="18" t="s">
        <v>1</v>
      </c>
      <c r="Q5" s="359"/>
      <c r="R5" s="357"/>
      <c r="S5" s="357"/>
      <c r="T5" s="67" t="s">
        <v>48</v>
      </c>
      <c r="U5" s="67" t="s">
        <v>49</v>
      </c>
      <c r="V5" s="67" t="s">
        <v>50</v>
      </c>
      <c r="W5" s="68" t="s">
        <v>51</v>
      </c>
      <c r="X5" s="316"/>
    </row>
    <row r="6" spans="1:26" ht="30" customHeight="1" x14ac:dyDescent="0.3">
      <c r="A6" s="349">
        <f>MAX($A$5:A5)+1</f>
        <v>1</v>
      </c>
      <c r="B6" s="37">
        <v>19.202999999999999</v>
      </c>
      <c r="C6" s="202">
        <v>1</v>
      </c>
      <c r="D6" s="217" t="s">
        <v>86</v>
      </c>
      <c r="E6" s="44">
        <v>2</v>
      </c>
      <c r="F6" s="249" t="s">
        <v>129</v>
      </c>
      <c r="G6" s="250"/>
      <c r="H6" s="16">
        <f>1096.8+(2*41)</f>
        <v>1178.8</v>
      </c>
      <c r="I6" s="16" t="s">
        <v>35</v>
      </c>
      <c r="J6" s="44" t="s">
        <v>7</v>
      </c>
      <c r="K6" s="16">
        <v>113</v>
      </c>
      <c r="L6" s="16">
        <v>1009</v>
      </c>
      <c r="M6" s="44">
        <v>309.89999999999998</v>
      </c>
      <c r="N6" s="183">
        <v>2.2000000000000002</v>
      </c>
      <c r="O6" s="184">
        <f>N6</f>
        <v>2.2000000000000002</v>
      </c>
      <c r="P6" s="16" t="s">
        <v>2</v>
      </c>
      <c r="Q6" s="32">
        <f>IF(O6=0,"",IF(O6&gt;0,O6/H6))</f>
        <v>1.8663047166610114E-3</v>
      </c>
      <c r="R6" s="16">
        <f>IF(Q6="",0,IF(Q6&lt;10%,2,IF(Q6&lt;20%,3,IF(Q6&lt;30%,5,IF(Q6&lt;=70%,6,IF(Q6&gt;70%,12))))))</f>
        <v>2</v>
      </c>
      <c r="S6" s="237">
        <v>2</v>
      </c>
      <c r="T6" s="33">
        <f>O6*100000</f>
        <v>220000.00000000003</v>
      </c>
      <c r="U6" s="33">
        <f>O6*10000</f>
        <v>22000</v>
      </c>
      <c r="V6" s="33">
        <f>O6*300000</f>
        <v>660000</v>
      </c>
      <c r="W6" s="33">
        <f>30*17000*R6*S6</f>
        <v>2040000</v>
      </c>
      <c r="X6" s="33">
        <f t="shared" ref="X6:X33" si="0">SUM(T6:W6)</f>
        <v>2942000</v>
      </c>
    </row>
    <row r="7" spans="1:26" ht="30" customHeight="1" x14ac:dyDescent="0.3">
      <c r="A7" s="350"/>
      <c r="B7" s="44"/>
      <c r="C7" s="203"/>
      <c r="D7" s="218" t="s">
        <v>85</v>
      </c>
      <c r="E7" s="45"/>
      <c r="F7" s="251"/>
      <c r="G7" s="252" t="s">
        <v>130</v>
      </c>
      <c r="H7" s="17"/>
      <c r="I7" s="17"/>
      <c r="J7" s="45"/>
      <c r="K7" s="17"/>
      <c r="L7" s="17"/>
      <c r="M7" s="45"/>
      <c r="N7" s="185"/>
      <c r="O7" s="186"/>
      <c r="P7" s="17"/>
      <c r="Q7" s="34"/>
      <c r="R7" s="17"/>
      <c r="S7" s="17"/>
      <c r="T7" s="35"/>
      <c r="U7" s="35"/>
      <c r="V7" s="35"/>
      <c r="W7" s="35"/>
      <c r="X7" s="33">
        <f t="shared" si="0"/>
        <v>0</v>
      </c>
    </row>
    <row r="8" spans="1:26" ht="19.5" customHeight="1" x14ac:dyDescent="0.3">
      <c r="A8" s="349">
        <f>MAX($A$5:A7)+1</f>
        <v>2</v>
      </c>
      <c r="B8" s="37">
        <v>20.204999999999998</v>
      </c>
      <c r="C8" s="202">
        <v>1</v>
      </c>
      <c r="D8" s="19" t="s">
        <v>230</v>
      </c>
      <c r="E8" s="39">
        <v>4</v>
      </c>
      <c r="F8" s="253" t="s">
        <v>131</v>
      </c>
      <c r="G8" s="253" t="s">
        <v>132</v>
      </c>
      <c r="H8" s="14">
        <f>1863.9+(4*41)</f>
        <v>2027.9</v>
      </c>
      <c r="I8" s="16" t="s">
        <v>35</v>
      </c>
      <c r="J8" s="39" t="s">
        <v>14</v>
      </c>
      <c r="K8" s="14">
        <v>115</v>
      </c>
      <c r="L8" s="14">
        <v>68</v>
      </c>
      <c r="M8" s="39">
        <v>1224.0999999999999</v>
      </c>
      <c r="N8" s="196">
        <v>434.6</v>
      </c>
      <c r="O8" s="197">
        <f t="shared" ref="O8:O16" si="1">N8</f>
        <v>434.6</v>
      </c>
      <c r="P8" s="14" t="s">
        <v>2</v>
      </c>
      <c r="Q8" s="32">
        <f t="shared" ref="Q8:Q33" si="2">IF(O8=0,"",IF(O8&gt;0,O8/H8))</f>
        <v>0.2143103703338429</v>
      </c>
      <c r="R8" s="16">
        <f t="shared" ref="R8:R33" si="3">IF(Q8="",0,IF(Q8&lt;10%,2,IF(Q8&lt;20%,3,IF(Q8&lt;30%,5,IF(Q8&lt;=70%,6,IF(Q8&gt;70%,12))))))</f>
        <v>5</v>
      </c>
      <c r="S8" s="237">
        <v>6</v>
      </c>
      <c r="T8" s="33">
        <f t="shared" ref="T8:T33" si="4">O8*100000</f>
        <v>43460000</v>
      </c>
      <c r="U8" s="33">
        <f t="shared" ref="U8:U33" si="5">O8*10000</f>
        <v>4346000</v>
      </c>
      <c r="V8" s="33">
        <f t="shared" ref="V8:V33" si="6">O8*300000</f>
        <v>130380000</v>
      </c>
      <c r="W8" s="33">
        <f t="shared" ref="W8:W33" si="7">30*17000*R8*S8</f>
        <v>15300000</v>
      </c>
      <c r="X8" s="33">
        <f t="shared" si="0"/>
        <v>193486000</v>
      </c>
    </row>
    <row r="9" spans="1:26" ht="19.5" customHeight="1" x14ac:dyDescent="0.3">
      <c r="A9" s="351"/>
      <c r="B9" s="37"/>
      <c r="C9" s="203"/>
      <c r="D9" s="198" t="s">
        <v>88</v>
      </c>
      <c r="E9" s="189"/>
      <c r="F9" s="254" t="s">
        <v>133</v>
      </c>
      <c r="G9" s="255"/>
      <c r="H9" s="188"/>
      <c r="I9" s="99"/>
      <c r="J9" s="189"/>
      <c r="K9" s="188"/>
      <c r="L9" s="188"/>
      <c r="M9" s="189"/>
      <c r="N9" s="190"/>
      <c r="O9" s="199"/>
      <c r="P9" s="188"/>
      <c r="Q9" s="191"/>
      <c r="R9" s="99"/>
      <c r="S9" s="188"/>
      <c r="T9" s="192"/>
      <c r="U9" s="192"/>
      <c r="V9" s="192"/>
      <c r="W9" s="192"/>
      <c r="X9" s="33">
        <f t="shared" si="0"/>
        <v>0</v>
      </c>
    </row>
    <row r="10" spans="1:26" ht="19.5" customHeight="1" x14ac:dyDescent="0.3">
      <c r="A10" s="351"/>
      <c r="B10" s="37"/>
      <c r="C10" s="203"/>
      <c r="D10" s="198" t="s">
        <v>89</v>
      </c>
      <c r="E10" s="189"/>
      <c r="F10" s="254" t="s">
        <v>134</v>
      </c>
      <c r="G10" s="255"/>
      <c r="H10" s="188"/>
      <c r="I10" s="99"/>
      <c r="J10" s="189"/>
      <c r="K10" s="188"/>
      <c r="L10" s="188"/>
      <c r="M10" s="189"/>
      <c r="N10" s="190"/>
      <c r="O10" s="199"/>
      <c r="P10" s="188"/>
      <c r="Q10" s="191"/>
      <c r="R10" s="99"/>
      <c r="S10" s="188"/>
      <c r="T10" s="192"/>
      <c r="U10" s="192"/>
      <c r="V10" s="192"/>
      <c r="W10" s="192"/>
      <c r="X10" s="33">
        <f t="shared" si="0"/>
        <v>0</v>
      </c>
    </row>
    <row r="11" spans="1:26" ht="19.5" customHeight="1" x14ac:dyDescent="0.3">
      <c r="A11" s="350"/>
      <c r="B11" s="37"/>
      <c r="C11" s="204"/>
      <c r="D11" s="20" t="s">
        <v>87</v>
      </c>
      <c r="E11" s="193"/>
      <c r="F11" s="256" t="s">
        <v>135</v>
      </c>
      <c r="G11" s="257"/>
      <c r="H11" s="15"/>
      <c r="I11" s="17"/>
      <c r="J11" s="193"/>
      <c r="K11" s="15"/>
      <c r="L11" s="15"/>
      <c r="M11" s="193"/>
      <c r="N11" s="194"/>
      <c r="O11" s="195"/>
      <c r="P11" s="15"/>
      <c r="Q11" s="34"/>
      <c r="R11" s="17"/>
      <c r="S11" s="15"/>
      <c r="T11" s="35"/>
      <c r="U11" s="35"/>
      <c r="V11" s="35"/>
      <c r="W11" s="35"/>
      <c r="X11" s="33">
        <f t="shared" si="0"/>
        <v>0</v>
      </c>
    </row>
    <row r="12" spans="1:26" ht="115.5" customHeight="1" x14ac:dyDescent="0.3">
      <c r="A12" s="5">
        <f>MAX($A$5:A11)+1</f>
        <v>3</v>
      </c>
      <c r="B12" s="37">
        <v>22.231000000000002</v>
      </c>
      <c r="C12" s="37">
        <v>1</v>
      </c>
      <c r="D12" s="7" t="s">
        <v>231</v>
      </c>
      <c r="E12" s="38">
        <v>6</v>
      </c>
      <c r="F12" s="258" t="s">
        <v>136</v>
      </c>
      <c r="G12" s="6"/>
      <c r="H12" s="6">
        <f>3154.5+(6*41)</f>
        <v>3400.5</v>
      </c>
      <c r="I12" s="5" t="s">
        <v>35</v>
      </c>
      <c r="J12" s="38" t="s">
        <v>15</v>
      </c>
      <c r="K12" s="6">
        <v>115</v>
      </c>
      <c r="L12" s="6">
        <v>6</v>
      </c>
      <c r="M12" s="38">
        <v>850.5</v>
      </c>
      <c r="N12" s="58">
        <v>253.7</v>
      </c>
      <c r="O12" s="52">
        <f t="shared" si="1"/>
        <v>253.7</v>
      </c>
      <c r="P12" s="6" t="s">
        <v>2</v>
      </c>
      <c r="Q12" s="21">
        <f t="shared" si="2"/>
        <v>7.4606675488898683E-2</v>
      </c>
      <c r="R12" s="5">
        <f t="shared" si="3"/>
        <v>2</v>
      </c>
      <c r="S12" s="6">
        <v>5</v>
      </c>
      <c r="T12" s="23">
        <f t="shared" si="4"/>
        <v>25370000</v>
      </c>
      <c r="U12" s="23">
        <f t="shared" si="5"/>
        <v>2537000</v>
      </c>
      <c r="V12" s="23">
        <f t="shared" si="6"/>
        <v>76110000</v>
      </c>
      <c r="W12" s="23">
        <f t="shared" si="7"/>
        <v>5100000</v>
      </c>
      <c r="X12" s="33">
        <f t="shared" si="0"/>
        <v>109117000</v>
      </c>
    </row>
    <row r="13" spans="1:26" ht="65.25" customHeight="1" x14ac:dyDescent="0.3">
      <c r="A13" s="5">
        <f>MAX($A$5:A12)+1</f>
        <v>4</v>
      </c>
      <c r="B13" s="37">
        <v>16.158999999999999</v>
      </c>
      <c r="C13" s="37">
        <v>1</v>
      </c>
      <c r="D13" s="11" t="s">
        <v>40</v>
      </c>
      <c r="E13" s="38">
        <v>2</v>
      </c>
      <c r="F13" s="6"/>
      <c r="G13" s="6"/>
      <c r="H13" s="6">
        <f>938.8+(2*41)</f>
        <v>1020.8</v>
      </c>
      <c r="I13" s="5" t="s">
        <v>35</v>
      </c>
      <c r="J13" s="38" t="s">
        <v>15</v>
      </c>
      <c r="K13" s="6">
        <v>115</v>
      </c>
      <c r="L13" s="6">
        <v>7</v>
      </c>
      <c r="M13" s="38">
        <v>619.1</v>
      </c>
      <c r="N13" s="58">
        <v>153.69999999999999</v>
      </c>
      <c r="O13" s="52">
        <f t="shared" si="1"/>
        <v>153.69999999999999</v>
      </c>
      <c r="P13" s="6" t="s">
        <v>2</v>
      </c>
      <c r="Q13" s="21">
        <f t="shared" si="2"/>
        <v>0.15056818181818182</v>
      </c>
      <c r="R13" s="5">
        <f t="shared" si="3"/>
        <v>3</v>
      </c>
      <c r="S13" s="6">
        <v>0</v>
      </c>
      <c r="T13" s="23">
        <f t="shared" si="4"/>
        <v>15369999.999999998</v>
      </c>
      <c r="U13" s="23">
        <f t="shared" si="5"/>
        <v>1537000</v>
      </c>
      <c r="V13" s="23">
        <f t="shared" si="6"/>
        <v>46110000</v>
      </c>
      <c r="W13" s="23">
        <f t="shared" si="7"/>
        <v>0</v>
      </c>
      <c r="X13" s="33">
        <f t="shared" si="0"/>
        <v>63017000</v>
      </c>
    </row>
    <row r="14" spans="1:26" ht="69.75" customHeight="1" x14ac:dyDescent="0.3">
      <c r="A14" s="5">
        <f>MAX($A$5:A13)+1</f>
        <v>5</v>
      </c>
      <c r="B14" s="37">
        <v>14.143000000000001</v>
      </c>
      <c r="C14" s="37">
        <v>1</v>
      </c>
      <c r="D14" s="7" t="s">
        <v>232</v>
      </c>
      <c r="E14" s="38">
        <v>3</v>
      </c>
      <c r="F14" s="258" t="s">
        <v>137</v>
      </c>
      <c r="G14" s="258" t="s">
        <v>138</v>
      </c>
      <c r="H14" s="6">
        <f>1409.2+(3*41)</f>
        <v>1532.2</v>
      </c>
      <c r="I14" s="5" t="s">
        <v>35</v>
      </c>
      <c r="J14" s="38" t="s">
        <v>15</v>
      </c>
      <c r="K14" s="6">
        <v>115</v>
      </c>
      <c r="L14" s="6">
        <v>34</v>
      </c>
      <c r="M14" s="38">
        <v>929.2</v>
      </c>
      <c r="N14" s="58">
        <v>218.3</v>
      </c>
      <c r="O14" s="52">
        <f t="shared" si="1"/>
        <v>218.3</v>
      </c>
      <c r="P14" s="6" t="s">
        <v>2</v>
      </c>
      <c r="Q14" s="21">
        <f t="shared" si="2"/>
        <v>0.14247487273201931</v>
      </c>
      <c r="R14" s="5">
        <f t="shared" si="3"/>
        <v>3</v>
      </c>
      <c r="S14" s="6">
        <v>4</v>
      </c>
      <c r="T14" s="23">
        <f t="shared" si="4"/>
        <v>21830000</v>
      </c>
      <c r="U14" s="23">
        <f t="shared" si="5"/>
        <v>2183000</v>
      </c>
      <c r="V14" s="23">
        <f t="shared" si="6"/>
        <v>65490000</v>
      </c>
      <c r="W14" s="23">
        <f t="shared" si="7"/>
        <v>6120000</v>
      </c>
      <c r="X14" s="33">
        <f t="shared" si="0"/>
        <v>95623000</v>
      </c>
    </row>
    <row r="15" spans="1:26" ht="96" customHeight="1" x14ac:dyDescent="0.3">
      <c r="A15" s="5">
        <f>MAX($A$5:A14)+1</f>
        <v>6</v>
      </c>
      <c r="B15" s="37">
        <v>23.248000000000001</v>
      </c>
      <c r="C15" s="37">
        <v>1</v>
      </c>
      <c r="D15" s="7" t="s">
        <v>233</v>
      </c>
      <c r="E15" s="38">
        <v>5</v>
      </c>
      <c r="F15" s="258" t="s">
        <v>139</v>
      </c>
      <c r="G15" s="258" t="s">
        <v>140</v>
      </c>
      <c r="H15" s="6">
        <f>2348+(5*41)</f>
        <v>2553</v>
      </c>
      <c r="I15" s="5" t="s">
        <v>35</v>
      </c>
      <c r="J15" s="38" t="s">
        <v>15</v>
      </c>
      <c r="K15" s="6">
        <v>115</v>
      </c>
      <c r="L15" s="6">
        <v>72</v>
      </c>
      <c r="M15" s="38">
        <v>1548.2</v>
      </c>
      <c r="N15" s="58">
        <v>258.2</v>
      </c>
      <c r="O15" s="52">
        <f t="shared" si="1"/>
        <v>258.2</v>
      </c>
      <c r="P15" s="6" t="s">
        <v>2</v>
      </c>
      <c r="Q15" s="21">
        <f t="shared" si="2"/>
        <v>0.10113591852722287</v>
      </c>
      <c r="R15" s="5">
        <f t="shared" si="3"/>
        <v>3</v>
      </c>
      <c r="S15" s="6">
        <v>5</v>
      </c>
      <c r="T15" s="23">
        <f t="shared" si="4"/>
        <v>25820000</v>
      </c>
      <c r="U15" s="23">
        <f t="shared" si="5"/>
        <v>2582000</v>
      </c>
      <c r="V15" s="23">
        <f t="shared" si="6"/>
        <v>77460000</v>
      </c>
      <c r="W15" s="23">
        <f t="shared" si="7"/>
        <v>7650000</v>
      </c>
      <c r="X15" s="33">
        <f t="shared" si="0"/>
        <v>113512000</v>
      </c>
    </row>
    <row r="16" spans="1:26" ht="110.25" customHeight="1" x14ac:dyDescent="0.3">
      <c r="A16" s="5">
        <f>MAX($A$5:A15)+1</f>
        <v>7</v>
      </c>
      <c r="B16" s="37">
        <v>21.215</v>
      </c>
      <c r="C16" s="37">
        <v>1</v>
      </c>
      <c r="D16" s="7" t="s">
        <v>41</v>
      </c>
      <c r="E16" s="38">
        <v>5</v>
      </c>
      <c r="F16" s="258" t="s">
        <v>141</v>
      </c>
      <c r="G16" s="258" t="s">
        <v>142</v>
      </c>
      <c r="H16" s="6">
        <f>2448.3+(5*41)</f>
        <v>2653.3</v>
      </c>
      <c r="I16" s="5" t="s">
        <v>35</v>
      </c>
      <c r="J16" s="38" t="s">
        <v>15</v>
      </c>
      <c r="K16" s="6">
        <v>115</v>
      </c>
      <c r="L16" s="6">
        <v>104</v>
      </c>
      <c r="M16" s="38">
        <v>1150.0999999999999</v>
      </c>
      <c r="N16" s="58">
        <v>114.6</v>
      </c>
      <c r="O16" s="52">
        <f t="shared" si="1"/>
        <v>114.6</v>
      </c>
      <c r="P16" s="6" t="s">
        <v>2</v>
      </c>
      <c r="Q16" s="21">
        <f t="shared" si="2"/>
        <v>4.3191497380620357E-2</v>
      </c>
      <c r="R16" s="5">
        <f t="shared" si="3"/>
        <v>2</v>
      </c>
      <c r="S16" s="6">
        <v>3</v>
      </c>
      <c r="T16" s="23">
        <f t="shared" si="4"/>
        <v>11460000</v>
      </c>
      <c r="U16" s="23">
        <f t="shared" si="5"/>
        <v>1146000</v>
      </c>
      <c r="V16" s="23">
        <f t="shared" si="6"/>
        <v>34380000</v>
      </c>
      <c r="W16" s="23">
        <f t="shared" si="7"/>
        <v>3060000</v>
      </c>
      <c r="X16" s="33">
        <f t="shared" si="0"/>
        <v>50046000</v>
      </c>
    </row>
    <row r="17" spans="1:24" ht="87" customHeight="1" x14ac:dyDescent="0.3">
      <c r="A17" s="5">
        <f>MAX($A$5:A16)+1</f>
        <v>8</v>
      </c>
      <c r="B17" s="37">
        <v>13.125999999999999</v>
      </c>
      <c r="C17" s="37">
        <v>1</v>
      </c>
      <c r="D17" s="11" t="s">
        <v>234</v>
      </c>
      <c r="E17" s="37">
        <v>4</v>
      </c>
      <c r="F17" s="259" t="s">
        <v>143</v>
      </c>
      <c r="G17" s="5"/>
      <c r="H17" s="5">
        <f>2193.1+(4*41)</f>
        <v>2357.1</v>
      </c>
      <c r="I17" s="5" t="s">
        <v>35</v>
      </c>
      <c r="J17" s="37" t="s">
        <v>16</v>
      </c>
      <c r="K17" s="5">
        <v>115</v>
      </c>
      <c r="L17" s="5">
        <v>324</v>
      </c>
      <c r="M17" s="37">
        <v>672.1</v>
      </c>
      <c r="N17" s="57">
        <v>386.5</v>
      </c>
      <c r="O17" s="51">
        <f>N17</f>
        <v>386.5</v>
      </c>
      <c r="P17" s="5" t="s">
        <v>2</v>
      </c>
      <c r="Q17" s="21">
        <f t="shared" si="2"/>
        <v>0.16397267829112044</v>
      </c>
      <c r="R17" s="5">
        <f t="shared" si="3"/>
        <v>3</v>
      </c>
      <c r="S17" s="5">
        <v>2</v>
      </c>
      <c r="T17" s="23">
        <f t="shared" si="4"/>
        <v>38650000</v>
      </c>
      <c r="U17" s="23">
        <f t="shared" si="5"/>
        <v>3865000</v>
      </c>
      <c r="V17" s="23">
        <f t="shared" si="6"/>
        <v>115950000</v>
      </c>
      <c r="W17" s="23">
        <f t="shared" si="7"/>
        <v>3060000</v>
      </c>
      <c r="X17" s="33">
        <f t="shared" si="0"/>
        <v>161525000</v>
      </c>
    </row>
    <row r="18" spans="1:24" ht="108" customHeight="1" x14ac:dyDescent="0.3">
      <c r="A18" s="5">
        <f>MAX($A$5:A17)+1</f>
        <v>9</v>
      </c>
      <c r="B18" s="37">
        <v>7.66</v>
      </c>
      <c r="C18" s="37">
        <v>1</v>
      </c>
      <c r="D18" s="11" t="s">
        <v>235</v>
      </c>
      <c r="E18" s="37">
        <v>6</v>
      </c>
      <c r="F18" s="259" t="s">
        <v>144</v>
      </c>
      <c r="G18" s="259" t="s">
        <v>145</v>
      </c>
      <c r="H18" s="5">
        <f>3087.7+(6*41)</f>
        <v>3333.7</v>
      </c>
      <c r="I18" s="5" t="s">
        <v>35</v>
      </c>
      <c r="J18" s="37" t="s">
        <v>18</v>
      </c>
      <c r="K18" s="5">
        <v>116</v>
      </c>
      <c r="L18" s="5">
        <v>396</v>
      </c>
      <c r="M18" s="37">
        <v>804.2</v>
      </c>
      <c r="N18" s="57">
        <v>346.9</v>
      </c>
      <c r="O18" s="51">
        <f t="shared" ref="O18:O19" si="8">N18</f>
        <v>346.9</v>
      </c>
      <c r="P18" s="5" t="s">
        <v>2</v>
      </c>
      <c r="Q18" s="21">
        <f t="shared" si="2"/>
        <v>0.10405855355910849</v>
      </c>
      <c r="R18" s="5">
        <f t="shared" si="3"/>
        <v>3</v>
      </c>
      <c r="S18" s="5">
        <v>3</v>
      </c>
      <c r="T18" s="23">
        <f t="shared" si="4"/>
        <v>34690000</v>
      </c>
      <c r="U18" s="23">
        <f t="shared" si="5"/>
        <v>3469000</v>
      </c>
      <c r="V18" s="23">
        <f t="shared" si="6"/>
        <v>104070000</v>
      </c>
      <c r="W18" s="23">
        <f t="shared" si="7"/>
        <v>4590000</v>
      </c>
      <c r="X18" s="33">
        <f t="shared" si="0"/>
        <v>146819000</v>
      </c>
    </row>
    <row r="19" spans="1:24" ht="86.25" customHeight="1" x14ac:dyDescent="0.3">
      <c r="A19" s="5">
        <f>MAX($A$5:A18)+1</f>
        <v>10</v>
      </c>
      <c r="B19" s="37">
        <v>3.19</v>
      </c>
      <c r="C19" s="37">
        <v>1</v>
      </c>
      <c r="D19" s="11" t="s">
        <v>236</v>
      </c>
      <c r="E19" s="37">
        <v>4.5999999999999996</v>
      </c>
      <c r="F19" s="260" t="s">
        <v>146</v>
      </c>
      <c r="G19" s="5"/>
      <c r="H19" s="5">
        <f>2674.1+(4*41)</f>
        <v>2838.1</v>
      </c>
      <c r="I19" s="5" t="s">
        <v>35</v>
      </c>
      <c r="J19" s="37" t="s">
        <v>18</v>
      </c>
      <c r="K19" s="5">
        <v>116</v>
      </c>
      <c r="L19" s="5">
        <v>384</v>
      </c>
      <c r="M19" s="37">
        <v>1428</v>
      </c>
      <c r="N19" s="57">
        <v>422.7</v>
      </c>
      <c r="O19" s="51">
        <f t="shared" si="8"/>
        <v>422.7</v>
      </c>
      <c r="P19" s="5" t="s">
        <v>2</v>
      </c>
      <c r="Q19" s="21">
        <f t="shared" si="2"/>
        <v>0.14893766956766852</v>
      </c>
      <c r="R19" s="5">
        <f t="shared" si="3"/>
        <v>3</v>
      </c>
      <c r="S19" s="5">
        <v>6</v>
      </c>
      <c r="T19" s="23">
        <f t="shared" si="4"/>
        <v>42270000</v>
      </c>
      <c r="U19" s="23">
        <f t="shared" si="5"/>
        <v>4227000</v>
      </c>
      <c r="V19" s="23">
        <f t="shared" si="6"/>
        <v>126810000</v>
      </c>
      <c r="W19" s="23">
        <f t="shared" si="7"/>
        <v>9180000</v>
      </c>
      <c r="X19" s="33">
        <f t="shared" si="0"/>
        <v>182487000</v>
      </c>
    </row>
    <row r="20" spans="1:24" ht="34.5" customHeight="1" x14ac:dyDescent="0.3">
      <c r="A20" s="349">
        <f>MAX($A$5:A19)+1</f>
        <v>11</v>
      </c>
      <c r="B20" s="306">
        <v>4.33</v>
      </c>
      <c r="C20" s="202">
        <v>1</v>
      </c>
      <c r="D20" s="355" t="s">
        <v>237</v>
      </c>
      <c r="E20" s="306">
        <v>4</v>
      </c>
      <c r="F20" s="354" t="s">
        <v>147</v>
      </c>
      <c r="G20" s="354" t="s">
        <v>148</v>
      </c>
      <c r="H20" s="349">
        <f>2495.6+(4*41)</f>
        <v>2659.6</v>
      </c>
      <c r="I20" s="349" t="s">
        <v>35</v>
      </c>
      <c r="J20" s="37" t="s">
        <v>18</v>
      </c>
      <c r="K20" s="46">
        <v>116</v>
      </c>
      <c r="L20" s="46">
        <v>383</v>
      </c>
      <c r="M20" s="47">
        <v>1216.0999999999999</v>
      </c>
      <c r="N20" s="59">
        <v>319.10000000000002</v>
      </c>
      <c r="O20" s="339">
        <f>SUM(N20:N21)</f>
        <v>676.8</v>
      </c>
      <c r="P20" s="46" t="s">
        <v>2</v>
      </c>
      <c r="Q20" s="32">
        <f t="shared" si="2"/>
        <v>0.25447435704617233</v>
      </c>
      <c r="R20" s="16">
        <f t="shared" si="3"/>
        <v>5</v>
      </c>
      <c r="S20" s="16">
        <v>4</v>
      </c>
      <c r="T20" s="33">
        <f t="shared" si="4"/>
        <v>67680000</v>
      </c>
      <c r="U20" s="33">
        <f t="shared" si="5"/>
        <v>6768000</v>
      </c>
      <c r="V20" s="33">
        <f t="shared" si="6"/>
        <v>203040000</v>
      </c>
      <c r="W20" s="33">
        <f t="shared" si="7"/>
        <v>10200000</v>
      </c>
      <c r="X20" s="33">
        <f t="shared" si="0"/>
        <v>287688000</v>
      </c>
    </row>
    <row r="21" spans="1:24" ht="34.5" customHeight="1" x14ac:dyDescent="0.3">
      <c r="A21" s="350"/>
      <c r="B21" s="308"/>
      <c r="C21" s="204"/>
      <c r="D21" s="356"/>
      <c r="E21" s="308"/>
      <c r="F21" s="350"/>
      <c r="G21" s="350"/>
      <c r="H21" s="350"/>
      <c r="I21" s="350"/>
      <c r="J21" s="37" t="s">
        <v>18</v>
      </c>
      <c r="K21" s="48">
        <v>116</v>
      </c>
      <c r="L21" s="48">
        <v>351</v>
      </c>
      <c r="M21" s="49">
        <v>639.29999999999995</v>
      </c>
      <c r="N21" s="60">
        <v>357.7</v>
      </c>
      <c r="O21" s="340"/>
      <c r="P21" s="48" t="s">
        <v>2</v>
      </c>
      <c r="Q21" s="34"/>
      <c r="R21" s="17"/>
      <c r="S21" s="17"/>
      <c r="T21" s="35"/>
      <c r="U21" s="35"/>
      <c r="V21" s="35"/>
      <c r="W21" s="35"/>
      <c r="X21" s="33">
        <f t="shared" si="0"/>
        <v>0</v>
      </c>
    </row>
    <row r="22" spans="1:24" ht="34.5" customHeight="1" x14ac:dyDescent="0.3">
      <c r="A22" s="5">
        <f>MAX($A$5:A21)+1</f>
        <v>12</v>
      </c>
      <c r="B22" s="37">
        <v>19.199000000000002</v>
      </c>
      <c r="C22" s="37">
        <v>1</v>
      </c>
      <c r="D22" s="7" t="s">
        <v>23</v>
      </c>
      <c r="E22" s="38">
        <v>1</v>
      </c>
      <c r="F22" s="261" t="s">
        <v>149</v>
      </c>
      <c r="G22" s="242" t="s">
        <v>150</v>
      </c>
      <c r="H22" s="6">
        <f>470.7+41</f>
        <v>511.7</v>
      </c>
      <c r="I22" s="5" t="s">
        <v>35</v>
      </c>
      <c r="J22" s="38" t="s">
        <v>24</v>
      </c>
      <c r="K22" s="6">
        <v>113</v>
      </c>
      <c r="L22" s="6">
        <v>1046</v>
      </c>
      <c r="M22" s="38">
        <v>310.7</v>
      </c>
      <c r="N22" s="58">
        <v>65.7</v>
      </c>
      <c r="O22" s="52">
        <f>N22</f>
        <v>65.7</v>
      </c>
      <c r="P22" s="6" t="s">
        <v>2</v>
      </c>
      <c r="Q22" s="21">
        <f t="shared" si="2"/>
        <v>0.12839554426421732</v>
      </c>
      <c r="R22" s="5">
        <f t="shared" si="3"/>
        <v>3</v>
      </c>
      <c r="S22" s="6">
        <v>4</v>
      </c>
      <c r="T22" s="23">
        <f t="shared" si="4"/>
        <v>6570000</v>
      </c>
      <c r="U22" s="23">
        <f t="shared" si="5"/>
        <v>657000</v>
      </c>
      <c r="V22" s="23">
        <f t="shared" si="6"/>
        <v>19710000</v>
      </c>
      <c r="W22" s="23">
        <f t="shared" si="7"/>
        <v>6120000</v>
      </c>
      <c r="X22" s="33">
        <f t="shared" si="0"/>
        <v>33057000</v>
      </c>
    </row>
    <row r="23" spans="1:24" ht="58.5" customHeight="1" x14ac:dyDescent="0.3">
      <c r="A23" s="349">
        <f>MAX($A$5:A22)+1</f>
        <v>13</v>
      </c>
      <c r="B23" s="306">
        <v>8.74</v>
      </c>
      <c r="C23" s="202">
        <v>1</v>
      </c>
      <c r="D23" s="355" t="s">
        <v>238</v>
      </c>
      <c r="E23" s="306">
        <v>5.7</v>
      </c>
      <c r="F23" s="354" t="s">
        <v>151</v>
      </c>
      <c r="G23" s="354" t="s">
        <v>152</v>
      </c>
      <c r="H23" s="349">
        <f>2942.7+(5*41)</f>
        <v>3147.7</v>
      </c>
      <c r="I23" s="349" t="s">
        <v>35</v>
      </c>
      <c r="J23" s="37" t="s">
        <v>12</v>
      </c>
      <c r="K23" s="46">
        <v>113</v>
      </c>
      <c r="L23" s="46">
        <v>803</v>
      </c>
      <c r="M23" s="47">
        <v>1217.7</v>
      </c>
      <c r="N23" s="59">
        <v>75.2</v>
      </c>
      <c r="O23" s="352">
        <f>SUM(N23:N24)</f>
        <v>161</v>
      </c>
      <c r="P23" s="46" t="s">
        <v>2</v>
      </c>
      <c r="Q23" s="32">
        <f t="shared" si="2"/>
        <v>5.1148457603964803E-2</v>
      </c>
      <c r="R23" s="16">
        <f t="shared" si="3"/>
        <v>2</v>
      </c>
      <c r="S23" s="16">
        <v>5</v>
      </c>
      <c r="T23" s="33">
        <f t="shared" si="4"/>
        <v>16100000</v>
      </c>
      <c r="U23" s="33">
        <f t="shared" si="5"/>
        <v>1610000</v>
      </c>
      <c r="V23" s="33">
        <f t="shared" si="6"/>
        <v>48300000</v>
      </c>
      <c r="W23" s="33">
        <f t="shared" si="7"/>
        <v>5100000</v>
      </c>
      <c r="X23" s="33">
        <f t="shared" si="0"/>
        <v>71110000</v>
      </c>
    </row>
    <row r="24" spans="1:24" ht="34.5" customHeight="1" x14ac:dyDescent="0.3">
      <c r="A24" s="350"/>
      <c r="B24" s="308"/>
      <c r="C24" s="204"/>
      <c r="D24" s="356"/>
      <c r="E24" s="308"/>
      <c r="F24" s="350"/>
      <c r="G24" s="350"/>
      <c r="H24" s="350"/>
      <c r="I24" s="350"/>
      <c r="J24" s="37" t="s">
        <v>12</v>
      </c>
      <c r="K24" s="48">
        <v>113</v>
      </c>
      <c r="L24" s="48">
        <v>828</v>
      </c>
      <c r="M24" s="49">
        <v>621.9</v>
      </c>
      <c r="N24" s="60">
        <v>85.8</v>
      </c>
      <c r="O24" s="353"/>
      <c r="P24" s="48" t="s">
        <v>2</v>
      </c>
      <c r="Q24" s="34"/>
      <c r="R24" s="17"/>
      <c r="S24" s="17"/>
      <c r="T24" s="35"/>
      <c r="U24" s="35"/>
      <c r="V24" s="35"/>
      <c r="W24" s="35"/>
      <c r="X24" s="33">
        <f t="shared" si="0"/>
        <v>0</v>
      </c>
    </row>
    <row r="25" spans="1:24" ht="66.75" customHeight="1" x14ac:dyDescent="0.3">
      <c r="A25" s="5">
        <f>MAX($A$5:A24)+1</f>
        <v>14</v>
      </c>
      <c r="B25" s="37">
        <v>6.55</v>
      </c>
      <c r="C25" s="37">
        <v>1</v>
      </c>
      <c r="D25" s="11" t="s">
        <v>239</v>
      </c>
      <c r="E25" s="37">
        <v>3</v>
      </c>
      <c r="F25" s="259" t="s">
        <v>256</v>
      </c>
      <c r="G25" s="262" t="s">
        <v>153</v>
      </c>
      <c r="H25" s="5">
        <f>1640.9+(3*41)</f>
        <v>1763.9</v>
      </c>
      <c r="I25" s="5" t="s">
        <v>35</v>
      </c>
      <c r="J25" s="37" t="s">
        <v>12</v>
      </c>
      <c r="K25" s="5">
        <v>113</v>
      </c>
      <c r="L25" s="5">
        <v>847</v>
      </c>
      <c r="M25" s="37">
        <v>1051</v>
      </c>
      <c r="N25" s="57">
        <v>37.4</v>
      </c>
      <c r="O25" s="51">
        <f>N25</f>
        <v>37.4</v>
      </c>
      <c r="P25" s="5" t="s">
        <v>2</v>
      </c>
      <c r="Q25" s="21">
        <f t="shared" si="2"/>
        <v>2.1203016043993422E-2</v>
      </c>
      <c r="R25" s="5">
        <f t="shared" si="3"/>
        <v>2</v>
      </c>
      <c r="S25" s="5">
        <v>3</v>
      </c>
      <c r="T25" s="23">
        <f t="shared" si="4"/>
        <v>3740000</v>
      </c>
      <c r="U25" s="23">
        <f t="shared" si="5"/>
        <v>374000</v>
      </c>
      <c r="V25" s="23">
        <f t="shared" si="6"/>
        <v>11220000</v>
      </c>
      <c r="W25" s="23">
        <f t="shared" si="7"/>
        <v>3060000</v>
      </c>
      <c r="X25" s="33">
        <f t="shared" si="0"/>
        <v>18394000</v>
      </c>
    </row>
    <row r="26" spans="1:24" ht="71.25" customHeight="1" x14ac:dyDescent="0.3">
      <c r="A26" s="5">
        <f>MAX($A$5:A25)+1</f>
        <v>15</v>
      </c>
      <c r="B26" s="37">
        <v>13.132</v>
      </c>
      <c r="C26" s="37">
        <v>1</v>
      </c>
      <c r="D26" s="11" t="s">
        <v>42</v>
      </c>
      <c r="E26" s="37">
        <v>4</v>
      </c>
      <c r="F26" s="259" t="s">
        <v>154</v>
      </c>
      <c r="G26" s="259" t="s">
        <v>155</v>
      </c>
      <c r="H26" s="5">
        <f>2310.2+(4*41)</f>
        <v>2474.1999999999998</v>
      </c>
      <c r="I26" s="5" t="s">
        <v>35</v>
      </c>
      <c r="J26" s="37" t="s">
        <v>12</v>
      </c>
      <c r="K26" s="5">
        <v>113</v>
      </c>
      <c r="L26" s="5">
        <v>846</v>
      </c>
      <c r="M26" s="37">
        <v>1669.9</v>
      </c>
      <c r="N26" s="57">
        <v>12.5</v>
      </c>
      <c r="O26" s="51">
        <f t="shared" ref="O26:O27" si="9">N26</f>
        <v>12.5</v>
      </c>
      <c r="P26" s="5" t="s">
        <v>2</v>
      </c>
      <c r="Q26" s="21">
        <f t="shared" si="2"/>
        <v>5.0521380648290357E-3</v>
      </c>
      <c r="R26" s="5">
        <f t="shared" si="3"/>
        <v>2</v>
      </c>
      <c r="S26" s="5">
        <v>3</v>
      </c>
      <c r="T26" s="23">
        <f t="shared" si="4"/>
        <v>1250000</v>
      </c>
      <c r="U26" s="23">
        <f t="shared" si="5"/>
        <v>125000</v>
      </c>
      <c r="V26" s="23">
        <f t="shared" si="6"/>
        <v>3750000</v>
      </c>
      <c r="W26" s="23">
        <f t="shared" si="7"/>
        <v>3060000</v>
      </c>
      <c r="X26" s="33">
        <f t="shared" si="0"/>
        <v>8185000</v>
      </c>
    </row>
    <row r="27" spans="1:24" ht="55.5" customHeight="1" x14ac:dyDescent="0.3">
      <c r="A27" s="5">
        <f>MAX($A$5:A26)+1</f>
        <v>16</v>
      </c>
      <c r="B27" s="37">
        <v>19.198</v>
      </c>
      <c r="C27" s="37">
        <v>1</v>
      </c>
      <c r="D27" s="7" t="s">
        <v>43</v>
      </c>
      <c r="E27" s="38">
        <v>2.1</v>
      </c>
      <c r="F27" s="6"/>
      <c r="G27" s="6"/>
      <c r="H27" s="6">
        <f>1090.4+(2*41)</f>
        <v>1172.4000000000001</v>
      </c>
      <c r="I27" s="5" t="s">
        <v>35</v>
      </c>
      <c r="J27" s="38" t="s">
        <v>13</v>
      </c>
      <c r="K27" s="6">
        <v>113</v>
      </c>
      <c r="L27" s="6">
        <v>1015</v>
      </c>
      <c r="M27" s="38">
        <v>686.3</v>
      </c>
      <c r="N27" s="58">
        <v>19.7</v>
      </c>
      <c r="O27" s="51">
        <f t="shared" si="9"/>
        <v>19.7</v>
      </c>
      <c r="P27" s="6" t="s">
        <v>2</v>
      </c>
      <c r="Q27" s="21">
        <f t="shared" si="2"/>
        <v>1.680313886045718E-2</v>
      </c>
      <c r="R27" s="5">
        <f t="shared" si="3"/>
        <v>2</v>
      </c>
      <c r="S27" s="6">
        <v>0</v>
      </c>
      <c r="T27" s="23">
        <f t="shared" si="4"/>
        <v>1970000</v>
      </c>
      <c r="U27" s="23">
        <f t="shared" si="5"/>
        <v>197000</v>
      </c>
      <c r="V27" s="23">
        <f t="shared" si="6"/>
        <v>5910000</v>
      </c>
      <c r="W27" s="23">
        <f t="shared" si="7"/>
        <v>0</v>
      </c>
      <c r="X27" s="33">
        <f t="shared" si="0"/>
        <v>8077000</v>
      </c>
    </row>
    <row r="28" spans="1:24" ht="101.25" customHeight="1" x14ac:dyDescent="0.3">
      <c r="A28" s="5">
        <f>MAX($A$5:A27)+1</f>
        <v>17</v>
      </c>
      <c r="B28" s="37">
        <v>130</v>
      </c>
      <c r="C28" s="37">
        <v>1</v>
      </c>
      <c r="D28" s="11" t="s">
        <v>240</v>
      </c>
      <c r="E28" s="37">
        <v>5</v>
      </c>
      <c r="F28" s="259" t="s">
        <v>156</v>
      </c>
      <c r="G28" s="259" t="s">
        <v>157</v>
      </c>
      <c r="H28" s="5">
        <f>2916.7+(5*29.21)</f>
        <v>3062.75</v>
      </c>
      <c r="I28" s="5" t="s">
        <v>35</v>
      </c>
      <c r="J28" s="37" t="s">
        <v>17</v>
      </c>
      <c r="K28" s="5">
        <v>116</v>
      </c>
      <c r="L28" s="5">
        <v>371</v>
      </c>
      <c r="M28" s="37">
        <v>242.3</v>
      </c>
      <c r="N28" s="57">
        <v>143.80000000000001</v>
      </c>
      <c r="O28" s="51">
        <f t="shared" ref="O28:O33" si="10">N28</f>
        <v>143.80000000000001</v>
      </c>
      <c r="P28" s="5" t="s">
        <v>2</v>
      </c>
      <c r="Q28" s="21">
        <f t="shared" si="2"/>
        <v>4.6951269284140076E-2</v>
      </c>
      <c r="R28" s="5">
        <f t="shared" si="3"/>
        <v>2</v>
      </c>
      <c r="S28" s="5">
        <v>9</v>
      </c>
      <c r="T28" s="23">
        <f t="shared" si="4"/>
        <v>14380000.000000002</v>
      </c>
      <c r="U28" s="23">
        <f t="shared" si="5"/>
        <v>1438000</v>
      </c>
      <c r="V28" s="23">
        <f t="shared" si="6"/>
        <v>43140000</v>
      </c>
      <c r="W28" s="23">
        <f t="shared" si="7"/>
        <v>9180000</v>
      </c>
      <c r="X28" s="33">
        <f t="shared" si="0"/>
        <v>68138000</v>
      </c>
    </row>
    <row r="29" spans="1:24" ht="148.5" x14ac:dyDescent="0.3">
      <c r="A29" s="5">
        <f>MAX($A$5:A28)+1</f>
        <v>18</v>
      </c>
      <c r="B29" s="37">
        <v>13</v>
      </c>
      <c r="C29" s="37">
        <v>1</v>
      </c>
      <c r="D29" s="11" t="s">
        <v>241</v>
      </c>
      <c r="E29" s="37">
        <v>5</v>
      </c>
      <c r="F29" s="259" t="s">
        <v>158</v>
      </c>
      <c r="G29" s="259" t="s">
        <v>159</v>
      </c>
      <c r="H29" s="5">
        <f>2952.2+(5*29.21)</f>
        <v>3098.25</v>
      </c>
      <c r="I29" s="5" t="s">
        <v>35</v>
      </c>
      <c r="J29" s="37" t="s">
        <v>17</v>
      </c>
      <c r="K29" s="5">
        <v>116</v>
      </c>
      <c r="L29" s="5">
        <v>386</v>
      </c>
      <c r="M29" s="37">
        <v>512.1</v>
      </c>
      <c r="N29" s="57">
        <v>290.10000000000002</v>
      </c>
      <c r="O29" s="51">
        <f t="shared" si="10"/>
        <v>290.10000000000002</v>
      </c>
      <c r="P29" s="5" t="s">
        <v>2</v>
      </c>
      <c r="Q29" s="21">
        <f t="shared" si="2"/>
        <v>9.3633502783829592E-2</v>
      </c>
      <c r="R29" s="5">
        <f t="shared" si="3"/>
        <v>2</v>
      </c>
      <c r="S29" s="5">
        <v>9</v>
      </c>
      <c r="T29" s="23">
        <f t="shared" si="4"/>
        <v>29010000.000000004</v>
      </c>
      <c r="U29" s="23">
        <f t="shared" si="5"/>
        <v>2901000</v>
      </c>
      <c r="V29" s="23">
        <f t="shared" si="6"/>
        <v>87030000</v>
      </c>
      <c r="W29" s="23">
        <f t="shared" si="7"/>
        <v>9180000</v>
      </c>
      <c r="X29" s="33">
        <f t="shared" si="0"/>
        <v>128121000</v>
      </c>
    </row>
    <row r="30" spans="1:24" ht="148.5" x14ac:dyDescent="0.3">
      <c r="A30" s="5">
        <f>MAX($A$5:A29)+1</f>
        <v>19</v>
      </c>
      <c r="B30" s="37">
        <v>6</v>
      </c>
      <c r="C30" s="37">
        <v>1</v>
      </c>
      <c r="D30" s="11" t="s">
        <v>242</v>
      </c>
      <c r="E30" s="37">
        <v>5</v>
      </c>
      <c r="F30" s="259" t="s">
        <v>160</v>
      </c>
      <c r="G30" s="259" t="s">
        <v>161</v>
      </c>
      <c r="H30" s="5">
        <f>2788.9+(5*29.21)</f>
        <v>2934.9500000000003</v>
      </c>
      <c r="I30" s="5" t="s">
        <v>35</v>
      </c>
      <c r="J30" s="37" t="s">
        <v>17</v>
      </c>
      <c r="K30" s="5">
        <v>116</v>
      </c>
      <c r="L30" s="5">
        <v>397</v>
      </c>
      <c r="M30" s="37">
        <v>560.9</v>
      </c>
      <c r="N30" s="57">
        <v>513</v>
      </c>
      <c r="O30" s="51">
        <f t="shared" si="10"/>
        <v>513</v>
      </c>
      <c r="P30" s="5" t="s">
        <v>2</v>
      </c>
      <c r="Q30" s="21">
        <f t="shared" si="2"/>
        <v>0.17479003049455696</v>
      </c>
      <c r="R30" s="5">
        <f t="shared" si="3"/>
        <v>3</v>
      </c>
      <c r="S30" s="5">
        <v>4</v>
      </c>
      <c r="T30" s="23">
        <f t="shared" si="4"/>
        <v>51300000</v>
      </c>
      <c r="U30" s="23">
        <f t="shared" si="5"/>
        <v>5130000</v>
      </c>
      <c r="V30" s="23">
        <f t="shared" si="6"/>
        <v>153900000</v>
      </c>
      <c r="W30" s="23">
        <f t="shared" si="7"/>
        <v>6120000</v>
      </c>
      <c r="X30" s="33">
        <f t="shared" si="0"/>
        <v>216450000</v>
      </c>
    </row>
    <row r="31" spans="1:24" ht="126.75" customHeight="1" x14ac:dyDescent="0.3">
      <c r="A31" s="5">
        <f>MAX($A$5:A30)+1</f>
        <v>20</v>
      </c>
      <c r="B31" s="37">
        <v>268</v>
      </c>
      <c r="C31" s="37">
        <v>1</v>
      </c>
      <c r="D31" s="11" t="s">
        <v>243</v>
      </c>
      <c r="E31" s="37">
        <v>7</v>
      </c>
      <c r="F31" s="259" t="s">
        <v>162</v>
      </c>
      <c r="G31" s="262" t="s">
        <v>163</v>
      </c>
      <c r="H31" s="5">
        <f>3987.1+(7*29.21)</f>
        <v>4191.57</v>
      </c>
      <c r="I31" s="5" t="s">
        <v>35</v>
      </c>
      <c r="J31" s="37" t="s">
        <v>17</v>
      </c>
      <c r="K31" s="5">
        <v>116</v>
      </c>
      <c r="L31" s="5">
        <v>387</v>
      </c>
      <c r="M31" s="37">
        <v>573.1</v>
      </c>
      <c r="N31" s="57">
        <v>215.8</v>
      </c>
      <c r="O31" s="51">
        <f t="shared" si="10"/>
        <v>215.8</v>
      </c>
      <c r="P31" s="5" t="s">
        <v>2</v>
      </c>
      <c r="Q31" s="21">
        <f t="shared" si="2"/>
        <v>5.1484288703278251E-2</v>
      </c>
      <c r="R31" s="5">
        <f t="shared" si="3"/>
        <v>2</v>
      </c>
      <c r="S31" s="5">
        <v>6</v>
      </c>
      <c r="T31" s="23">
        <f t="shared" si="4"/>
        <v>21580000</v>
      </c>
      <c r="U31" s="23">
        <f t="shared" si="5"/>
        <v>2158000</v>
      </c>
      <c r="V31" s="23">
        <f t="shared" si="6"/>
        <v>64740000</v>
      </c>
      <c r="W31" s="23">
        <f t="shared" si="7"/>
        <v>6120000</v>
      </c>
      <c r="X31" s="33">
        <f t="shared" si="0"/>
        <v>94598000</v>
      </c>
    </row>
    <row r="32" spans="1:24" ht="82.5" customHeight="1" x14ac:dyDescent="0.3">
      <c r="A32" s="5">
        <f>MAX($A$5:A31)+1</f>
        <v>21</v>
      </c>
      <c r="B32" s="37">
        <v>141</v>
      </c>
      <c r="C32" s="37">
        <v>1</v>
      </c>
      <c r="D32" s="11" t="s">
        <v>244</v>
      </c>
      <c r="E32" s="37">
        <v>3</v>
      </c>
      <c r="F32" s="259" t="s">
        <v>164</v>
      </c>
      <c r="G32" s="260" t="s">
        <v>165</v>
      </c>
      <c r="H32" s="5">
        <f>1415.5+(3*29.21)</f>
        <v>1503.13</v>
      </c>
      <c r="I32" s="5" t="s">
        <v>35</v>
      </c>
      <c r="J32" s="37" t="s">
        <v>17</v>
      </c>
      <c r="K32" s="5">
        <v>116</v>
      </c>
      <c r="L32" s="5">
        <v>398</v>
      </c>
      <c r="M32" s="37">
        <v>787.4</v>
      </c>
      <c r="N32" s="57">
        <v>102.2</v>
      </c>
      <c r="O32" s="51">
        <f t="shared" si="10"/>
        <v>102.2</v>
      </c>
      <c r="P32" s="5" t="s">
        <v>2</v>
      </c>
      <c r="Q32" s="21">
        <f t="shared" si="2"/>
        <v>6.7991457824672516E-2</v>
      </c>
      <c r="R32" s="5">
        <f t="shared" si="3"/>
        <v>2</v>
      </c>
      <c r="S32" s="5">
        <v>2</v>
      </c>
      <c r="T32" s="23">
        <f t="shared" si="4"/>
        <v>10220000</v>
      </c>
      <c r="U32" s="23">
        <f t="shared" si="5"/>
        <v>1022000</v>
      </c>
      <c r="V32" s="23">
        <f t="shared" si="6"/>
        <v>30660000</v>
      </c>
      <c r="W32" s="23">
        <f t="shared" si="7"/>
        <v>2040000</v>
      </c>
      <c r="X32" s="33">
        <f t="shared" si="0"/>
        <v>43942000</v>
      </c>
    </row>
    <row r="33" spans="1:24" ht="86.25" customHeight="1" x14ac:dyDescent="0.3">
      <c r="A33" s="5">
        <f>MAX($A$5:A32)+1</f>
        <v>22</v>
      </c>
      <c r="B33" s="37">
        <v>3</v>
      </c>
      <c r="C33" s="37">
        <v>1</v>
      </c>
      <c r="D33" s="11" t="s">
        <v>245</v>
      </c>
      <c r="E33" s="37">
        <v>4</v>
      </c>
      <c r="F33" s="260" t="s">
        <v>166</v>
      </c>
      <c r="G33" s="259" t="s">
        <v>167</v>
      </c>
      <c r="H33" s="5">
        <f>2415+(4*29.21)</f>
        <v>2531.84</v>
      </c>
      <c r="I33" s="5" t="s">
        <v>35</v>
      </c>
      <c r="J33" s="37" t="s">
        <v>17</v>
      </c>
      <c r="K33" s="5">
        <v>116</v>
      </c>
      <c r="L33" s="5">
        <v>388</v>
      </c>
      <c r="M33" s="37">
        <v>672.2</v>
      </c>
      <c r="N33" s="57">
        <v>1.2</v>
      </c>
      <c r="O33" s="51">
        <f t="shared" si="10"/>
        <v>1.2</v>
      </c>
      <c r="P33" s="5" t="s">
        <v>2</v>
      </c>
      <c r="Q33" s="21">
        <f t="shared" si="2"/>
        <v>4.7396359959555104E-4</v>
      </c>
      <c r="R33" s="5">
        <f t="shared" si="3"/>
        <v>2</v>
      </c>
      <c r="S33" s="238">
        <v>3</v>
      </c>
      <c r="T33" s="23">
        <f t="shared" si="4"/>
        <v>120000</v>
      </c>
      <c r="U33" s="23">
        <f t="shared" si="5"/>
        <v>12000</v>
      </c>
      <c r="V33" s="23">
        <f t="shared" si="6"/>
        <v>360000</v>
      </c>
      <c r="W33" s="23">
        <f t="shared" si="7"/>
        <v>3060000</v>
      </c>
      <c r="X33" s="33">
        <f t="shared" si="0"/>
        <v>3552000</v>
      </c>
    </row>
    <row r="34" spans="1:24" ht="20.25" customHeight="1" x14ac:dyDescent="0.3">
      <c r="A34" s="5"/>
      <c r="B34" s="40"/>
      <c r="C34" s="40"/>
      <c r="D34" s="28"/>
      <c r="E34" s="42"/>
      <c r="F34" s="27"/>
      <c r="G34" s="27"/>
      <c r="H34" s="27"/>
      <c r="I34" s="26"/>
      <c r="J34" s="40"/>
      <c r="K34" s="26"/>
      <c r="L34" s="26"/>
      <c r="M34" s="40"/>
      <c r="N34" s="64">
        <f>SUM(N6:N33)</f>
        <v>4830.5999999999995</v>
      </c>
      <c r="O34" s="64">
        <f>SUM(O6:O33)</f>
        <v>4830.5999999999995</v>
      </c>
      <c r="P34" s="64"/>
      <c r="Q34" s="64"/>
      <c r="R34" s="64"/>
      <c r="S34" s="64">
        <f t="shared" ref="S34:X34" si="11">SUM(S6:S33)</f>
        <v>88</v>
      </c>
      <c r="T34" s="65">
        <f t="shared" si="11"/>
        <v>483060000</v>
      </c>
      <c r="U34" s="65">
        <f t="shared" si="11"/>
        <v>48306000</v>
      </c>
      <c r="V34" s="65">
        <f t="shared" si="11"/>
        <v>1449180000</v>
      </c>
      <c r="W34" s="65">
        <f t="shared" si="11"/>
        <v>119340000</v>
      </c>
      <c r="X34" s="65">
        <f t="shared" si="11"/>
        <v>2099886000</v>
      </c>
    </row>
  </sheetData>
  <autoFilter ref="A5:X34">
    <sortState ref="A32:S228">
      <sortCondition ref="I4:I228"/>
    </sortState>
  </autoFilter>
  <mergeCells count="38">
    <mergeCell ref="R4:R5"/>
    <mergeCell ref="S4:S5"/>
    <mergeCell ref="T4:W4"/>
    <mergeCell ref="X4:X5"/>
    <mergeCell ref="B20:B21"/>
    <mergeCell ref="D20:D21"/>
    <mergeCell ref="E20:E21"/>
    <mergeCell ref="H20:H21"/>
    <mergeCell ref="I20:I21"/>
    <mergeCell ref="G4:G5"/>
    <mergeCell ref="F20:F21"/>
    <mergeCell ref="Q4:Q5"/>
    <mergeCell ref="A23:A24"/>
    <mergeCell ref="B23:B24"/>
    <mergeCell ref="D23:D24"/>
    <mergeCell ref="E23:E24"/>
    <mergeCell ref="H23:H24"/>
    <mergeCell ref="I23:I24"/>
    <mergeCell ref="O23:O24"/>
    <mergeCell ref="G20:G21"/>
    <mergeCell ref="F23:F24"/>
    <mergeCell ref="G23:G24"/>
    <mergeCell ref="A3:Z3"/>
    <mergeCell ref="A1:X1"/>
    <mergeCell ref="O20:O21"/>
    <mergeCell ref="A4:A5"/>
    <mergeCell ref="B4:B5"/>
    <mergeCell ref="D4:D5"/>
    <mergeCell ref="E4:E5"/>
    <mergeCell ref="H4:H5"/>
    <mergeCell ref="I4:I5"/>
    <mergeCell ref="J4:J5"/>
    <mergeCell ref="K4:P4"/>
    <mergeCell ref="F4:F5"/>
    <mergeCell ref="A2:X2"/>
    <mergeCell ref="A20:A21"/>
    <mergeCell ref="A6:A7"/>
    <mergeCell ref="A8:A11"/>
  </mergeCells>
  <pageMargins left="0.35433070866141736" right="0.19685039370078741" top="0.27" bottom="0.15748031496062992" header="0.28000000000000003" footer="0.51181102362204722"/>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4"/>
  <sheetViews>
    <sheetView tabSelected="1" zoomScale="101" zoomScaleNormal="101" workbookViewId="0">
      <pane xSplit="5" ySplit="5" topLeftCell="F24" activePane="bottomRight" state="frozen"/>
      <selection activeCell="T7" sqref="T7:T32"/>
      <selection pane="topRight" activeCell="T7" sqref="T7:T32"/>
      <selection pane="bottomLeft" activeCell="T7" sqref="T7:T32"/>
      <selection pane="bottomRight" activeCell="E26" sqref="E26"/>
    </sheetView>
  </sheetViews>
  <sheetFormatPr defaultRowHeight="15" x14ac:dyDescent="0.25"/>
  <cols>
    <col min="1" max="1" width="9" style="269" customWidth="1"/>
    <col min="2" max="2" width="8.140625" style="286" hidden="1" customWidth="1"/>
    <col min="3" max="4" width="6.5703125" style="286" hidden="1" customWidth="1"/>
    <col min="5" max="5" width="26.7109375" style="268" customWidth="1"/>
    <col min="6" max="6" width="6.140625" style="287" hidden="1" customWidth="1"/>
    <col min="7" max="7" width="17.7109375" style="288" customWidth="1"/>
    <col min="8" max="8" width="13" style="288" customWidth="1"/>
    <col min="9" max="9" width="15.28515625" style="287" hidden="1" customWidth="1"/>
    <col min="10" max="10" width="13.5703125" style="287" hidden="1" customWidth="1"/>
    <col min="11" max="11" width="11.42578125" style="289" customWidth="1"/>
    <col min="12" max="12" width="8.85546875" style="269" customWidth="1"/>
    <col min="13" max="13" width="11.85546875" style="286" hidden="1" customWidth="1"/>
    <col min="14" max="14" width="9.28515625" style="269" customWidth="1"/>
    <col min="15" max="15" width="10.7109375" style="269" customWidth="1"/>
    <col min="16" max="16" width="10.7109375" style="269" hidden="1" customWidth="1"/>
    <col min="17" max="18" width="12.28515625" style="289" customWidth="1"/>
    <col min="19" max="19" width="10" style="269" customWidth="1"/>
    <col min="20" max="20" width="10" style="31" customWidth="1"/>
    <col min="21" max="22" width="10" style="284" customWidth="1"/>
    <col min="23" max="27" width="17.7109375" style="269" customWidth="1"/>
    <col min="28" max="16384" width="9.140625" style="269"/>
  </cols>
  <sheetData>
    <row r="1" spans="1:27" x14ac:dyDescent="0.25">
      <c r="A1" s="360" t="s">
        <v>224</v>
      </c>
      <c r="B1" s="360"/>
      <c r="C1" s="360"/>
      <c r="D1" s="360"/>
      <c r="E1" s="360"/>
      <c r="F1" s="360"/>
      <c r="G1" s="360"/>
      <c r="H1" s="360"/>
      <c r="I1" s="360"/>
      <c r="J1" s="360"/>
      <c r="K1" s="360"/>
      <c r="L1" s="360"/>
      <c r="M1" s="360"/>
      <c r="N1" s="360"/>
      <c r="O1" s="360"/>
      <c r="P1" s="360"/>
      <c r="Q1" s="360"/>
      <c r="R1" s="360"/>
      <c r="S1" s="360"/>
      <c r="T1" s="360"/>
      <c r="U1" s="360"/>
      <c r="V1" s="360"/>
      <c r="W1" s="360"/>
      <c r="X1" s="360"/>
      <c r="Y1" s="360"/>
      <c r="Z1" s="360"/>
      <c r="AA1" s="360"/>
    </row>
    <row r="2" spans="1:27" s="270" customFormat="1" ht="33" customHeight="1" x14ac:dyDescent="0.25">
      <c r="A2" s="364" t="s">
        <v>257</v>
      </c>
      <c r="B2" s="364"/>
      <c r="C2" s="364"/>
      <c r="D2" s="364"/>
      <c r="E2" s="364"/>
      <c r="F2" s="364"/>
      <c r="G2" s="364"/>
      <c r="H2" s="364"/>
      <c r="I2" s="364"/>
      <c r="J2" s="364"/>
      <c r="K2" s="364"/>
      <c r="L2" s="364"/>
      <c r="M2" s="364"/>
      <c r="N2" s="364"/>
      <c r="O2" s="364"/>
      <c r="P2" s="364"/>
      <c r="Q2" s="364"/>
      <c r="R2" s="364"/>
      <c r="S2" s="364"/>
      <c r="T2" s="364"/>
      <c r="U2" s="365"/>
      <c r="V2" s="365"/>
      <c r="W2" s="364"/>
      <c r="X2" s="364"/>
      <c r="Y2" s="364"/>
      <c r="Z2" s="364"/>
      <c r="AA2" s="364"/>
    </row>
    <row r="3" spans="1:27" s="270" customFormat="1" ht="19.5" customHeight="1" x14ac:dyDescent="0.25">
      <c r="A3" s="368" t="s">
        <v>261</v>
      </c>
      <c r="B3" s="368"/>
      <c r="C3" s="368"/>
      <c r="D3" s="368"/>
      <c r="E3" s="368"/>
      <c r="F3" s="368"/>
      <c r="G3" s="368"/>
      <c r="H3" s="368"/>
      <c r="I3" s="368"/>
      <c r="J3" s="368"/>
      <c r="K3" s="368"/>
      <c r="L3" s="368"/>
      <c r="M3" s="368"/>
      <c r="N3" s="368"/>
      <c r="O3" s="368"/>
      <c r="P3" s="368"/>
      <c r="Q3" s="368"/>
      <c r="R3" s="368"/>
      <c r="S3" s="368"/>
      <c r="T3" s="368"/>
      <c r="U3" s="369"/>
      <c r="V3" s="369"/>
      <c r="W3" s="368"/>
      <c r="X3" s="368"/>
      <c r="Y3" s="368"/>
      <c r="Z3" s="368"/>
      <c r="AA3" s="368"/>
    </row>
    <row r="4" spans="1:27" ht="20.100000000000001" customHeight="1" x14ac:dyDescent="0.25">
      <c r="A4" s="378" t="s">
        <v>0</v>
      </c>
      <c r="B4" s="362" t="s">
        <v>27</v>
      </c>
      <c r="C4" s="271"/>
      <c r="D4" s="271"/>
      <c r="E4" s="366" t="s">
        <v>168</v>
      </c>
      <c r="F4" s="362" t="s">
        <v>26</v>
      </c>
      <c r="G4" s="370" t="s">
        <v>128</v>
      </c>
      <c r="H4" s="370" t="s">
        <v>95</v>
      </c>
      <c r="I4" s="362" t="s">
        <v>33</v>
      </c>
      <c r="J4" s="362" t="s">
        <v>32</v>
      </c>
      <c r="K4" s="366" t="s">
        <v>31</v>
      </c>
      <c r="L4" s="361" t="s">
        <v>4</v>
      </c>
      <c r="M4" s="361" t="s">
        <v>25</v>
      </c>
      <c r="N4" s="361"/>
      <c r="O4" s="361"/>
      <c r="P4" s="361"/>
      <c r="Q4" s="361"/>
      <c r="R4" s="361"/>
      <c r="S4" s="361"/>
      <c r="T4" s="372" t="s">
        <v>44</v>
      </c>
      <c r="U4" s="370" t="s">
        <v>45</v>
      </c>
      <c r="V4" s="370" t="s">
        <v>46</v>
      </c>
      <c r="W4" s="374" t="s">
        <v>47</v>
      </c>
      <c r="X4" s="374"/>
      <c r="Y4" s="374"/>
      <c r="Z4" s="374"/>
      <c r="AA4" s="366" t="s">
        <v>52</v>
      </c>
    </row>
    <row r="5" spans="1:27" ht="87" customHeight="1" x14ac:dyDescent="0.25">
      <c r="A5" s="379"/>
      <c r="B5" s="380"/>
      <c r="C5" s="272" t="s">
        <v>30</v>
      </c>
      <c r="D5" s="272" t="s">
        <v>91</v>
      </c>
      <c r="E5" s="367"/>
      <c r="F5" s="363"/>
      <c r="G5" s="371"/>
      <c r="H5" s="371"/>
      <c r="I5" s="363"/>
      <c r="J5" s="363"/>
      <c r="K5" s="367"/>
      <c r="L5" s="361"/>
      <c r="M5" s="273" t="s">
        <v>5</v>
      </c>
      <c r="N5" s="274" t="s">
        <v>225</v>
      </c>
      <c r="O5" s="274" t="s">
        <v>226</v>
      </c>
      <c r="P5" s="274" t="s">
        <v>34</v>
      </c>
      <c r="Q5" s="274" t="s">
        <v>28</v>
      </c>
      <c r="R5" s="274" t="s">
        <v>38</v>
      </c>
      <c r="S5" s="275" t="s">
        <v>1</v>
      </c>
      <c r="T5" s="373"/>
      <c r="U5" s="371"/>
      <c r="V5" s="371"/>
      <c r="W5" s="276" t="s">
        <v>48</v>
      </c>
      <c r="X5" s="276" t="s">
        <v>49</v>
      </c>
      <c r="Y5" s="276" t="s">
        <v>50</v>
      </c>
      <c r="Z5" s="277" t="s">
        <v>51</v>
      </c>
      <c r="AA5" s="367"/>
    </row>
    <row r="6" spans="1:27" s="284" customFormat="1" ht="30" x14ac:dyDescent="0.25">
      <c r="A6" s="2">
        <f>MAX($A$5:A5)+1</f>
        <v>1</v>
      </c>
      <c r="B6" s="54">
        <v>27</v>
      </c>
      <c r="C6" s="54">
        <v>13</v>
      </c>
      <c r="D6" s="54">
        <v>1</v>
      </c>
      <c r="E6" s="13" t="s">
        <v>53</v>
      </c>
      <c r="F6" s="278">
        <v>2</v>
      </c>
      <c r="G6" s="264" t="s">
        <v>169</v>
      </c>
      <c r="H6" s="265" t="s">
        <v>170</v>
      </c>
      <c r="I6" s="278">
        <f t="shared" ref="I6:I33" si="0">F6*384</f>
        <v>768</v>
      </c>
      <c r="J6" s="279">
        <f>35.7</f>
        <v>35.700000000000003</v>
      </c>
      <c r="K6" s="280">
        <f t="shared" ref="K6:K33" si="1">I6-J6</f>
        <v>732.3</v>
      </c>
      <c r="L6" s="281" t="s">
        <v>19</v>
      </c>
      <c r="M6" s="278" t="s">
        <v>20</v>
      </c>
      <c r="N6" s="281">
        <v>61</v>
      </c>
      <c r="O6" s="281">
        <v>496</v>
      </c>
      <c r="P6" s="281"/>
      <c r="Q6" s="280">
        <v>78.7</v>
      </c>
      <c r="R6" s="280">
        <f t="shared" ref="R6" si="2">Q6</f>
        <v>78.7</v>
      </c>
      <c r="S6" s="2" t="s">
        <v>2</v>
      </c>
      <c r="T6" s="282">
        <f t="shared" ref="T6:T33" si="3">IF(R6=0,"",IF(R6&gt;0,R6/K6))</f>
        <v>0.10746961627748192</v>
      </c>
      <c r="U6" s="2">
        <f t="shared" ref="U6:U33" si="4">IF(T6="",0,IF(T6&lt;10%,2,IF(T6&lt;20%,3,IF(T6&lt;30%,5,IF(T6&lt;=70%,6,IF(T6&gt;70%,12))))))</f>
        <v>3</v>
      </c>
      <c r="V6" s="2">
        <v>1</v>
      </c>
      <c r="W6" s="283">
        <f t="shared" ref="W6:W33" si="5">100000*R6</f>
        <v>7870000</v>
      </c>
      <c r="X6" s="283">
        <f t="shared" ref="X6:X33" si="6">10000*R6</f>
        <v>787000</v>
      </c>
      <c r="Y6" s="283">
        <f t="shared" ref="Y6:Y33" si="7">300000*R6</f>
        <v>23610000</v>
      </c>
      <c r="Z6" s="283">
        <f t="shared" ref="Z6:Z33" si="8">30*17000*U6*V6</f>
        <v>1530000</v>
      </c>
      <c r="AA6" s="283">
        <f t="shared" ref="AA6:AA33" si="9">SUM(W6:Z6)</f>
        <v>33797000</v>
      </c>
    </row>
    <row r="7" spans="1:27" s="284" customFormat="1" ht="67.5" customHeight="1" x14ac:dyDescent="0.25">
      <c r="A7" s="2">
        <f>MAX($A$5:A6)+1</f>
        <v>2</v>
      </c>
      <c r="B7" s="54">
        <v>53</v>
      </c>
      <c r="C7" s="54">
        <v>13</v>
      </c>
      <c r="D7" s="54">
        <v>1</v>
      </c>
      <c r="E7" s="13" t="s">
        <v>54</v>
      </c>
      <c r="F7" s="278">
        <v>4</v>
      </c>
      <c r="G7" s="265" t="s">
        <v>171</v>
      </c>
      <c r="H7" s="281"/>
      <c r="I7" s="278">
        <f t="shared" si="0"/>
        <v>1536</v>
      </c>
      <c r="J7" s="279">
        <f>293+25.8</f>
        <v>318.8</v>
      </c>
      <c r="K7" s="280">
        <f t="shared" si="1"/>
        <v>1217.2</v>
      </c>
      <c r="L7" s="281" t="s">
        <v>19</v>
      </c>
      <c r="M7" s="278" t="s">
        <v>20</v>
      </c>
      <c r="N7" s="281">
        <v>61</v>
      </c>
      <c r="O7" s="281">
        <v>497</v>
      </c>
      <c r="P7" s="281"/>
      <c r="Q7" s="280">
        <v>126.3</v>
      </c>
      <c r="R7" s="280">
        <f t="shared" ref="R7:R12" si="10">Q7</f>
        <v>126.3</v>
      </c>
      <c r="S7" s="2" t="s">
        <v>2</v>
      </c>
      <c r="T7" s="282">
        <f t="shared" si="3"/>
        <v>0.1037627341439369</v>
      </c>
      <c r="U7" s="2">
        <f t="shared" si="4"/>
        <v>3</v>
      </c>
      <c r="V7" s="2">
        <v>3</v>
      </c>
      <c r="W7" s="283">
        <f t="shared" si="5"/>
        <v>12630000</v>
      </c>
      <c r="X7" s="283">
        <f t="shared" si="6"/>
        <v>1263000</v>
      </c>
      <c r="Y7" s="283">
        <f t="shared" si="7"/>
        <v>37890000</v>
      </c>
      <c r="Z7" s="283">
        <f t="shared" si="8"/>
        <v>4590000</v>
      </c>
      <c r="AA7" s="283">
        <f t="shared" si="9"/>
        <v>56373000</v>
      </c>
    </row>
    <row r="8" spans="1:27" s="284" customFormat="1" ht="51.75" customHeight="1" x14ac:dyDescent="0.25">
      <c r="A8" s="2">
        <f>MAX($A$5:A7)+1</f>
        <v>3</v>
      </c>
      <c r="B8" s="54">
        <v>29</v>
      </c>
      <c r="C8" s="54">
        <v>13</v>
      </c>
      <c r="D8" s="54">
        <v>1</v>
      </c>
      <c r="E8" s="13" t="s">
        <v>55</v>
      </c>
      <c r="F8" s="278">
        <v>3</v>
      </c>
      <c r="G8" s="264" t="s">
        <v>172</v>
      </c>
      <c r="H8" s="265" t="s">
        <v>173</v>
      </c>
      <c r="I8" s="278">
        <f t="shared" si="0"/>
        <v>1152</v>
      </c>
      <c r="J8" s="279">
        <v>0</v>
      </c>
      <c r="K8" s="280">
        <f t="shared" si="1"/>
        <v>1152</v>
      </c>
      <c r="L8" s="281" t="s">
        <v>19</v>
      </c>
      <c r="M8" s="278" t="s">
        <v>20</v>
      </c>
      <c r="N8" s="281">
        <v>61</v>
      </c>
      <c r="O8" s="281">
        <v>498</v>
      </c>
      <c r="P8" s="281"/>
      <c r="Q8" s="280">
        <v>101.6</v>
      </c>
      <c r="R8" s="280">
        <f t="shared" si="10"/>
        <v>101.6</v>
      </c>
      <c r="S8" s="2" t="s">
        <v>2</v>
      </c>
      <c r="T8" s="282">
        <f t="shared" si="3"/>
        <v>8.8194444444444436E-2</v>
      </c>
      <c r="U8" s="2">
        <f t="shared" si="4"/>
        <v>2</v>
      </c>
      <c r="V8" s="2">
        <v>4</v>
      </c>
      <c r="W8" s="283">
        <f t="shared" si="5"/>
        <v>10160000</v>
      </c>
      <c r="X8" s="283">
        <f t="shared" si="6"/>
        <v>1016000</v>
      </c>
      <c r="Y8" s="283">
        <f t="shared" si="7"/>
        <v>30480000</v>
      </c>
      <c r="Z8" s="283">
        <f t="shared" si="8"/>
        <v>4080000</v>
      </c>
      <c r="AA8" s="283">
        <f t="shared" si="9"/>
        <v>45736000</v>
      </c>
    </row>
    <row r="9" spans="1:27" s="284" customFormat="1" ht="87.75" customHeight="1" x14ac:dyDescent="0.25">
      <c r="A9" s="2">
        <f>MAX($A$5:A8)+1</f>
        <v>4</v>
      </c>
      <c r="B9" s="54">
        <v>22</v>
      </c>
      <c r="C9" s="54">
        <v>13</v>
      </c>
      <c r="D9" s="54">
        <v>1</v>
      </c>
      <c r="E9" s="13" t="s">
        <v>56</v>
      </c>
      <c r="F9" s="278">
        <v>5</v>
      </c>
      <c r="G9" s="264" t="s">
        <v>174</v>
      </c>
      <c r="H9" s="265" t="s">
        <v>175</v>
      </c>
      <c r="I9" s="278">
        <f t="shared" si="0"/>
        <v>1920</v>
      </c>
      <c r="J9" s="279">
        <f>34.6+3.4+464.8</f>
        <v>502.8</v>
      </c>
      <c r="K9" s="280">
        <f t="shared" si="1"/>
        <v>1417.2</v>
      </c>
      <c r="L9" s="281" t="s">
        <v>19</v>
      </c>
      <c r="M9" s="278" t="s">
        <v>20</v>
      </c>
      <c r="N9" s="281">
        <v>61</v>
      </c>
      <c r="O9" s="281">
        <v>499</v>
      </c>
      <c r="P9" s="281"/>
      <c r="Q9" s="280">
        <v>171.1</v>
      </c>
      <c r="R9" s="280">
        <f t="shared" si="10"/>
        <v>171.1</v>
      </c>
      <c r="S9" s="2" t="s">
        <v>2</v>
      </c>
      <c r="T9" s="282">
        <f t="shared" si="3"/>
        <v>0.12073101891052779</v>
      </c>
      <c r="U9" s="2">
        <f t="shared" si="4"/>
        <v>3</v>
      </c>
      <c r="V9" s="2">
        <v>4</v>
      </c>
      <c r="W9" s="283">
        <f t="shared" si="5"/>
        <v>17110000</v>
      </c>
      <c r="X9" s="283">
        <f t="shared" si="6"/>
        <v>1711000</v>
      </c>
      <c r="Y9" s="283">
        <f t="shared" si="7"/>
        <v>51330000</v>
      </c>
      <c r="Z9" s="283">
        <f t="shared" si="8"/>
        <v>6120000</v>
      </c>
      <c r="AA9" s="283">
        <f t="shared" si="9"/>
        <v>76271000</v>
      </c>
    </row>
    <row r="10" spans="1:27" s="284" customFormat="1" ht="34.5" customHeight="1" x14ac:dyDescent="0.25">
      <c r="A10" s="2">
        <f>MAX($A$5:A9)+1</f>
        <v>5</v>
      </c>
      <c r="B10" s="54">
        <v>21</v>
      </c>
      <c r="C10" s="54">
        <v>13</v>
      </c>
      <c r="D10" s="54">
        <v>1</v>
      </c>
      <c r="E10" s="13" t="s">
        <v>57</v>
      </c>
      <c r="F10" s="278">
        <v>2</v>
      </c>
      <c r="G10" s="264" t="s">
        <v>176</v>
      </c>
      <c r="H10" s="281"/>
      <c r="I10" s="278">
        <f t="shared" si="0"/>
        <v>768</v>
      </c>
      <c r="J10" s="279">
        <v>0</v>
      </c>
      <c r="K10" s="280">
        <f t="shared" si="1"/>
        <v>768</v>
      </c>
      <c r="L10" s="281" t="s">
        <v>19</v>
      </c>
      <c r="M10" s="278" t="s">
        <v>20</v>
      </c>
      <c r="N10" s="281">
        <v>61</v>
      </c>
      <c r="O10" s="281">
        <v>500</v>
      </c>
      <c r="P10" s="281"/>
      <c r="Q10" s="280">
        <v>69.599999999999994</v>
      </c>
      <c r="R10" s="280">
        <f t="shared" si="10"/>
        <v>69.599999999999994</v>
      </c>
      <c r="S10" s="2" t="s">
        <v>2</v>
      </c>
      <c r="T10" s="282">
        <f t="shared" si="3"/>
        <v>9.0624999999999997E-2</v>
      </c>
      <c r="U10" s="2">
        <f t="shared" si="4"/>
        <v>2</v>
      </c>
      <c r="V10" s="2">
        <v>2</v>
      </c>
      <c r="W10" s="283">
        <f t="shared" si="5"/>
        <v>6959999.9999999991</v>
      </c>
      <c r="X10" s="283">
        <f t="shared" si="6"/>
        <v>696000</v>
      </c>
      <c r="Y10" s="283">
        <f t="shared" si="7"/>
        <v>20880000</v>
      </c>
      <c r="Z10" s="283">
        <f t="shared" si="8"/>
        <v>2040000</v>
      </c>
      <c r="AA10" s="283">
        <f t="shared" si="9"/>
        <v>30576000</v>
      </c>
    </row>
    <row r="11" spans="1:27" s="284" customFormat="1" ht="87" customHeight="1" x14ac:dyDescent="0.25">
      <c r="A11" s="2">
        <f>MAX($A$5:A10)+1</f>
        <v>6</v>
      </c>
      <c r="B11" s="54">
        <v>34</v>
      </c>
      <c r="C11" s="54">
        <v>13</v>
      </c>
      <c r="D11" s="54">
        <v>1</v>
      </c>
      <c r="E11" s="13" t="s">
        <v>255</v>
      </c>
      <c r="F11" s="278">
        <v>5</v>
      </c>
      <c r="G11" s="264" t="s">
        <v>177</v>
      </c>
      <c r="H11" s="265" t="s">
        <v>178</v>
      </c>
      <c r="I11" s="278">
        <f t="shared" si="0"/>
        <v>1920</v>
      </c>
      <c r="J11" s="279">
        <f>33+129</f>
        <v>162</v>
      </c>
      <c r="K11" s="280">
        <f t="shared" si="1"/>
        <v>1758</v>
      </c>
      <c r="L11" s="281" t="s">
        <v>19</v>
      </c>
      <c r="M11" s="278" t="s">
        <v>20</v>
      </c>
      <c r="N11" s="281">
        <v>61</v>
      </c>
      <c r="O11" s="281">
        <v>501</v>
      </c>
      <c r="P11" s="281"/>
      <c r="Q11" s="280">
        <v>218.4</v>
      </c>
      <c r="R11" s="280">
        <f t="shared" si="10"/>
        <v>218.4</v>
      </c>
      <c r="S11" s="2" t="s">
        <v>2</v>
      </c>
      <c r="T11" s="282">
        <f t="shared" si="3"/>
        <v>0.1242320819112628</v>
      </c>
      <c r="U11" s="2">
        <f t="shared" si="4"/>
        <v>3</v>
      </c>
      <c r="V11" s="2">
        <v>3</v>
      </c>
      <c r="W11" s="283">
        <f t="shared" si="5"/>
        <v>21840000</v>
      </c>
      <c r="X11" s="283">
        <f t="shared" si="6"/>
        <v>2184000</v>
      </c>
      <c r="Y11" s="283">
        <f t="shared" si="7"/>
        <v>65520000</v>
      </c>
      <c r="Z11" s="283">
        <f t="shared" si="8"/>
        <v>4590000</v>
      </c>
      <c r="AA11" s="283">
        <f t="shared" si="9"/>
        <v>94134000</v>
      </c>
    </row>
    <row r="12" spans="1:27" s="284" customFormat="1" ht="105.75" customHeight="1" x14ac:dyDescent="0.25">
      <c r="A12" s="2">
        <f>MAX($A$5:A11)+1</f>
        <v>7</v>
      </c>
      <c r="B12" s="54">
        <v>37</v>
      </c>
      <c r="C12" s="54">
        <v>13</v>
      </c>
      <c r="D12" s="54">
        <v>1</v>
      </c>
      <c r="E12" s="13" t="s">
        <v>58</v>
      </c>
      <c r="F12" s="278">
        <v>6</v>
      </c>
      <c r="G12" s="264" t="s">
        <v>179</v>
      </c>
      <c r="H12" s="265" t="s">
        <v>180</v>
      </c>
      <c r="I12" s="278">
        <f t="shared" si="0"/>
        <v>2304</v>
      </c>
      <c r="J12" s="279">
        <v>0</v>
      </c>
      <c r="K12" s="280">
        <f t="shared" si="1"/>
        <v>2304</v>
      </c>
      <c r="L12" s="281" t="s">
        <v>19</v>
      </c>
      <c r="M12" s="278" t="s">
        <v>20</v>
      </c>
      <c r="N12" s="281">
        <v>61</v>
      </c>
      <c r="O12" s="281">
        <v>503</v>
      </c>
      <c r="P12" s="281"/>
      <c r="Q12" s="280">
        <v>212</v>
      </c>
      <c r="R12" s="280">
        <f t="shared" si="10"/>
        <v>212</v>
      </c>
      <c r="S12" s="2" t="s">
        <v>2</v>
      </c>
      <c r="T12" s="282">
        <f t="shared" si="3"/>
        <v>9.2013888888888895E-2</v>
      </c>
      <c r="U12" s="2">
        <f t="shared" si="4"/>
        <v>2</v>
      </c>
      <c r="V12" s="2">
        <v>8</v>
      </c>
      <c r="W12" s="283">
        <f t="shared" si="5"/>
        <v>21200000</v>
      </c>
      <c r="X12" s="283">
        <f t="shared" si="6"/>
        <v>2120000</v>
      </c>
      <c r="Y12" s="283">
        <f t="shared" si="7"/>
        <v>63600000</v>
      </c>
      <c r="Z12" s="283">
        <f t="shared" si="8"/>
        <v>8160000</v>
      </c>
      <c r="AA12" s="283">
        <f t="shared" si="9"/>
        <v>95080000</v>
      </c>
    </row>
    <row r="13" spans="1:27" s="284" customFormat="1" ht="40.5" customHeight="1" x14ac:dyDescent="0.25">
      <c r="A13" s="2">
        <f>MAX($A$5:A12)+1</f>
        <v>8</v>
      </c>
      <c r="B13" s="54">
        <v>33</v>
      </c>
      <c r="C13" s="54">
        <v>13</v>
      </c>
      <c r="D13" s="54">
        <v>1</v>
      </c>
      <c r="E13" s="13" t="s">
        <v>59</v>
      </c>
      <c r="F13" s="278">
        <v>2</v>
      </c>
      <c r="G13" s="264" t="s">
        <v>181</v>
      </c>
      <c r="H13" s="265" t="s">
        <v>182</v>
      </c>
      <c r="I13" s="278">
        <f t="shared" si="0"/>
        <v>768</v>
      </c>
      <c r="J13" s="279">
        <v>0</v>
      </c>
      <c r="K13" s="280">
        <f t="shared" si="1"/>
        <v>768</v>
      </c>
      <c r="L13" s="281" t="s">
        <v>19</v>
      </c>
      <c r="M13" s="278" t="s">
        <v>20</v>
      </c>
      <c r="N13" s="281">
        <v>61</v>
      </c>
      <c r="O13" s="281">
        <v>627</v>
      </c>
      <c r="P13" s="281"/>
      <c r="Q13" s="280">
        <v>76.900000000000006</v>
      </c>
      <c r="R13" s="280">
        <f>Q13</f>
        <v>76.900000000000006</v>
      </c>
      <c r="S13" s="2" t="s">
        <v>2</v>
      </c>
      <c r="T13" s="282">
        <f t="shared" si="3"/>
        <v>0.10013020833333335</v>
      </c>
      <c r="U13" s="2">
        <f t="shared" si="4"/>
        <v>3</v>
      </c>
      <c r="V13" s="2">
        <v>3</v>
      </c>
      <c r="W13" s="283">
        <f t="shared" si="5"/>
        <v>7690000.0000000009</v>
      </c>
      <c r="X13" s="283">
        <f t="shared" si="6"/>
        <v>769000</v>
      </c>
      <c r="Y13" s="283">
        <f t="shared" si="7"/>
        <v>23070000</v>
      </c>
      <c r="Z13" s="283">
        <f t="shared" si="8"/>
        <v>4590000</v>
      </c>
      <c r="AA13" s="283">
        <f t="shared" si="9"/>
        <v>36119000</v>
      </c>
    </row>
    <row r="14" spans="1:27" s="284" customFormat="1" ht="94.5" customHeight="1" x14ac:dyDescent="0.25">
      <c r="A14" s="2">
        <f>MAX($A$5:A13)+1</f>
        <v>9</v>
      </c>
      <c r="B14" s="54">
        <v>23</v>
      </c>
      <c r="C14" s="54">
        <v>13</v>
      </c>
      <c r="D14" s="54">
        <v>1</v>
      </c>
      <c r="E14" s="13" t="s">
        <v>90</v>
      </c>
      <c r="F14" s="278">
        <v>6</v>
      </c>
      <c r="G14" s="264" t="s">
        <v>183</v>
      </c>
      <c r="H14" s="265" t="s">
        <v>184</v>
      </c>
      <c r="I14" s="278">
        <f t="shared" si="0"/>
        <v>2304</v>
      </c>
      <c r="J14" s="279">
        <f>6.3+46+13+130+592.8</f>
        <v>788.09999999999991</v>
      </c>
      <c r="K14" s="280">
        <f t="shared" si="1"/>
        <v>1515.9</v>
      </c>
      <c r="L14" s="281" t="s">
        <v>19</v>
      </c>
      <c r="M14" s="278" t="s">
        <v>20</v>
      </c>
      <c r="N14" s="281">
        <v>61</v>
      </c>
      <c r="O14" s="281">
        <v>626</v>
      </c>
      <c r="P14" s="281"/>
      <c r="Q14" s="280">
        <v>248.7</v>
      </c>
      <c r="R14" s="280">
        <f t="shared" ref="R14:R25" si="11">Q14</f>
        <v>248.7</v>
      </c>
      <c r="S14" s="2" t="s">
        <v>2</v>
      </c>
      <c r="T14" s="282">
        <f t="shared" si="3"/>
        <v>0.16406095388877892</v>
      </c>
      <c r="U14" s="2">
        <f t="shared" si="4"/>
        <v>3</v>
      </c>
      <c r="V14" s="2">
        <v>5</v>
      </c>
      <c r="W14" s="283">
        <f t="shared" si="5"/>
        <v>24870000</v>
      </c>
      <c r="X14" s="283">
        <f t="shared" si="6"/>
        <v>2487000</v>
      </c>
      <c r="Y14" s="283">
        <f t="shared" si="7"/>
        <v>74610000</v>
      </c>
      <c r="Z14" s="283">
        <f t="shared" si="8"/>
        <v>7650000</v>
      </c>
      <c r="AA14" s="283">
        <f t="shared" si="9"/>
        <v>109617000</v>
      </c>
    </row>
    <row r="15" spans="1:27" s="284" customFormat="1" ht="82.5" customHeight="1" x14ac:dyDescent="0.25">
      <c r="A15" s="2">
        <f>MAX($A$5:A14)+1</f>
        <v>10</v>
      </c>
      <c r="B15" s="54">
        <v>54</v>
      </c>
      <c r="C15" s="54">
        <v>13</v>
      </c>
      <c r="D15" s="54">
        <v>1</v>
      </c>
      <c r="E15" s="13" t="s">
        <v>60</v>
      </c>
      <c r="F15" s="278">
        <v>5</v>
      </c>
      <c r="G15" s="264" t="s">
        <v>185</v>
      </c>
      <c r="H15" s="265" t="s">
        <v>186</v>
      </c>
      <c r="I15" s="278">
        <f t="shared" si="0"/>
        <v>1920</v>
      </c>
      <c r="J15" s="279">
        <v>0</v>
      </c>
      <c r="K15" s="280">
        <f t="shared" si="1"/>
        <v>1920</v>
      </c>
      <c r="L15" s="281" t="s">
        <v>19</v>
      </c>
      <c r="M15" s="278" t="s">
        <v>20</v>
      </c>
      <c r="N15" s="281">
        <v>61</v>
      </c>
      <c r="O15" s="281">
        <v>625</v>
      </c>
      <c r="P15" s="281"/>
      <c r="Q15" s="280">
        <v>202.6</v>
      </c>
      <c r="R15" s="280">
        <f t="shared" si="11"/>
        <v>202.6</v>
      </c>
      <c r="S15" s="2" t="s">
        <v>2</v>
      </c>
      <c r="T15" s="282">
        <f t="shared" si="3"/>
        <v>0.10552083333333333</v>
      </c>
      <c r="U15" s="2">
        <f t="shared" si="4"/>
        <v>3</v>
      </c>
      <c r="V15" s="2">
        <v>4</v>
      </c>
      <c r="W15" s="283">
        <f t="shared" si="5"/>
        <v>20260000</v>
      </c>
      <c r="X15" s="283">
        <f t="shared" si="6"/>
        <v>2026000</v>
      </c>
      <c r="Y15" s="283">
        <f t="shared" si="7"/>
        <v>60780000</v>
      </c>
      <c r="Z15" s="283">
        <f t="shared" si="8"/>
        <v>6120000</v>
      </c>
      <c r="AA15" s="283">
        <f t="shared" si="9"/>
        <v>89186000</v>
      </c>
    </row>
    <row r="16" spans="1:27" s="284" customFormat="1" ht="76.5" customHeight="1" x14ac:dyDescent="0.25">
      <c r="A16" s="2">
        <f>MAX($A$5:A15)+1</f>
        <v>11</v>
      </c>
      <c r="B16" s="54">
        <v>15</v>
      </c>
      <c r="C16" s="54">
        <v>13</v>
      </c>
      <c r="D16" s="54">
        <v>1</v>
      </c>
      <c r="E16" s="13" t="s">
        <v>61</v>
      </c>
      <c r="F16" s="278">
        <v>5</v>
      </c>
      <c r="G16" s="265" t="s">
        <v>187</v>
      </c>
      <c r="H16" s="281"/>
      <c r="I16" s="278">
        <f t="shared" si="0"/>
        <v>1920</v>
      </c>
      <c r="J16" s="279">
        <v>0</v>
      </c>
      <c r="K16" s="280">
        <f t="shared" si="1"/>
        <v>1920</v>
      </c>
      <c r="L16" s="281" t="s">
        <v>19</v>
      </c>
      <c r="M16" s="278" t="s">
        <v>20</v>
      </c>
      <c r="N16" s="281">
        <v>61</v>
      </c>
      <c r="O16" s="281">
        <v>624</v>
      </c>
      <c r="P16" s="281"/>
      <c r="Q16" s="280">
        <v>195.4</v>
      </c>
      <c r="R16" s="280">
        <f t="shared" si="11"/>
        <v>195.4</v>
      </c>
      <c r="S16" s="2" t="s">
        <v>2</v>
      </c>
      <c r="T16" s="282">
        <f t="shared" si="3"/>
        <v>0.10177083333333334</v>
      </c>
      <c r="U16" s="2">
        <f t="shared" si="4"/>
        <v>3</v>
      </c>
      <c r="V16" s="2">
        <v>10</v>
      </c>
      <c r="W16" s="283">
        <f t="shared" si="5"/>
        <v>19540000</v>
      </c>
      <c r="X16" s="283">
        <f t="shared" si="6"/>
        <v>1954000</v>
      </c>
      <c r="Y16" s="283">
        <f t="shared" si="7"/>
        <v>58620000</v>
      </c>
      <c r="Z16" s="283">
        <f t="shared" si="8"/>
        <v>15300000</v>
      </c>
      <c r="AA16" s="283">
        <f t="shared" si="9"/>
        <v>95414000</v>
      </c>
    </row>
    <row r="17" spans="1:27" s="284" customFormat="1" ht="129.75" customHeight="1" x14ac:dyDescent="0.25">
      <c r="A17" s="2">
        <f>MAX($A$5:A16)+1</f>
        <v>12</v>
      </c>
      <c r="B17" s="54">
        <v>51</v>
      </c>
      <c r="C17" s="54">
        <v>13</v>
      </c>
      <c r="D17" s="54">
        <v>1</v>
      </c>
      <c r="E17" s="13" t="s">
        <v>93</v>
      </c>
      <c r="F17" s="278">
        <v>8</v>
      </c>
      <c r="G17" s="265" t="s">
        <v>188</v>
      </c>
      <c r="H17" s="281"/>
      <c r="I17" s="278">
        <f t="shared" si="0"/>
        <v>3072</v>
      </c>
      <c r="J17" s="279">
        <v>0</v>
      </c>
      <c r="K17" s="280">
        <f t="shared" si="1"/>
        <v>3072</v>
      </c>
      <c r="L17" s="281" t="s">
        <v>19</v>
      </c>
      <c r="M17" s="278" t="s">
        <v>20</v>
      </c>
      <c r="N17" s="281">
        <v>64</v>
      </c>
      <c r="O17" s="281">
        <v>24</v>
      </c>
      <c r="P17" s="281"/>
      <c r="Q17" s="280">
        <v>283.2</v>
      </c>
      <c r="R17" s="280">
        <f t="shared" si="11"/>
        <v>283.2</v>
      </c>
      <c r="S17" s="2" t="s">
        <v>2</v>
      </c>
      <c r="T17" s="282">
        <f t="shared" si="3"/>
        <v>9.2187499999999992E-2</v>
      </c>
      <c r="U17" s="2">
        <f t="shared" si="4"/>
        <v>2</v>
      </c>
      <c r="V17" s="2">
        <v>7</v>
      </c>
      <c r="W17" s="283">
        <f t="shared" si="5"/>
        <v>28320000</v>
      </c>
      <c r="X17" s="283">
        <f t="shared" si="6"/>
        <v>2832000</v>
      </c>
      <c r="Y17" s="283">
        <f t="shared" si="7"/>
        <v>84960000</v>
      </c>
      <c r="Z17" s="283">
        <f t="shared" si="8"/>
        <v>7140000</v>
      </c>
      <c r="AA17" s="283">
        <f t="shared" si="9"/>
        <v>123252000</v>
      </c>
    </row>
    <row r="18" spans="1:27" s="284" customFormat="1" ht="72.75" customHeight="1" x14ac:dyDescent="0.25">
      <c r="A18" s="2">
        <f>MAX($A$5:A17)+1</f>
        <v>13</v>
      </c>
      <c r="B18" s="54">
        <v>28</v>
      </c>
      <c r="C18" s="54">
        <v>13</v>
      </c>
      <c r="D18" s="54"/>
      <c r="E18" s="13" t="s">
        <v>62</v>
      </c>
      <c r="F18" s="278">
        <v>4</v>
      </c>
      <c r="G18" s="264" t="s">
        <v>189</v>
      </c>
      <c r="H18" s="265" t="s">
        <v>190</v>
      </c>
      <c r="I18" s="278">
        <f t="shared" si="0"/>
        <v>1536</v>
      </c>
      <c r="J18" s="279">
        <f>78.1</f>
        <v>78.099999999999994</v>
      </c>
      <c r="K18" s="280">
        <f t="shared" si="1"/>
        <v>1457.9</v>
      </c>
      <c r="L18" s="281" t="s">
        <v>19</v>
      </c>
      <c r="M18" s="278" t="s">
        <v>20</v>
      </c>
      <c r="N18" s="281">
        <v>64</v>
      </c>
      <c r="O18" s="281">
        <v>23</v>
      </c>
      <c r="P18" s="281"/>
      <c r="Q18" s="280">
        <v>131.69999999999999</v>
      </c>
      <c r="R18" s="280">
        <f t="shared" si="11"/>
        <v>131.69999999999999</v>
      </c>
      <c r="S18" s="2" t="s">
        <v>2</v>
      </c>
      <c r="T18" s="282">
        <f t="shared" si="3"/>
        <v>9.033541395157417E-2</v>
      </c>
      <c r="U18" s="2">
        <f t="shared" si="4"/>
        <v>2</v>
      </c>
      <c r="V18" s="2">
        <v>6</v>
      </c>
      <c r="W18" s="283">
        <f t="shared" si="5"/>
        <v>13169999.999999998</v>
      </c>
      <c r="X18" s="283">
        <f t="shared" si="6"/>
        <v>1317000</v>
      </c>
      <c r="Y18" s="283">
        <f t="shared" si="7"/>
        <v>39510000</v>
      </c>
      <c r="Z18" s="283">
        <f t="shared" si="8"/>
        <v>6120000</v>
      </c>
      <c r="AA18" s="283">
        <f t="shared" si="9"/>
        <v>60117000</v>
      </c>
    </row>
    <row r="19" spans="1:27" s="284" customFormat="1" ht="86.25" customHeight="1" x14ac:dyDescent="0.25">
      <c r="A19" s="2">
        <f>MAX($A$5:A18)+1</f>
        <v>14</v>
      </c>
      <c r="B19" s="54">
        <v>48</v>
      </c>
      <c r="C19" s="54">
        <v>13</v>
      </c>
      <c r="D19" s="54">
        <v>1</v>
      </c>
      <c r="E19" s="13" t="s">
        <v>63</v>
      </c>
      <c r="F19" s="278">
        <v>5</v>
      </c>
      <c r="G19" s="264" t="s">
        <v>191</v>
      </c>
      <c r="H19" s="265" t="s">
        <v>192</v>
      </c>
      <c r="I19" s="278">
        <f t="shared" si="0"/>
        <v>1920</v>
      </c>
      <c r="J19" s="279">
        <f>361+31+225</f>
        <v>617</v>
      </c>
      <c r="K19" s="280">
        <f t="shared" si="1"/>
        <v>1303</v>
      </c>
      <c r="L19" s="281" t="s">
        <v>19</v>
      </c>
      <c r="M19" s="278" t="s">
        <v>20</v>
      </c>
      <c r="N19" s="281">
        <v>64</v>
      </c>
      <c r="O19" s="281">
        <v>47</v>
      </c>
      <c r="P19" s="281"/>
      <c r="Q19" s="280">
        <v>157.30000000000001</v>
      </c>
      <c r="R19" s="280">
        <f t="shared" si="11"/>
        <v>157.30000000000001</v>
      </c>
      <c r="S19" s="2" t="s">
        <v>2</v>
      </c>
      <c r="T19" s="282">
        <f t="shared" si="3"/>
        <v>0.1207214121258634</v>
      </c>
      <c r="U19" s="2">
        <f t="shared" si="4"/>
        <v>3</v>
      </c>
      <c r="V19" s="2">
        <v>4</v>
      </c>
      <c r="W19" s="283">
        <f t="shared" si="5"/>
        <v>15730000.000000002</v>
      </c>
      <c r="X19" s="283">
        <f t="shared" si="6"/>
        <v>1573000</v>
      </c>
      <c r="Y19" s="283">
        <f t="shared" si="7"/>
        <v>47190000</v>
      </c>
      <c r="Z19" s="283">
        <f t="shared" si="8"/>
        <v>6120000</v>
      </c>
      <c r="AA19" s="283">
        <f t="shared" si="9"/>
        <v>70613000</v>
      </c>
    </row>
    <row r="20" spans="1:27" s="284" customFormat="1" ht="102" customHeight="1" x14ac:dyDescent="0.25">
      <c r="A20" s="2">
        <f>MAX($A$5:A19)+1</f>
        <v>15</v>
      </c>
      <c r="B20" s="54">
        <v>32</v>
      </c>
      <c r="C20" s="54">
        <v>13</v>
      </c>
      <c r="D20" s="54">
        <v>1</v>
      </c>
      <c r="E20" s="13" t="s">
        <v>64</v>
      </c>
      <c r="F20" s="278">
        <v>6</v>
      </c>
      <c r="G20" s="264" t="s">
        <v>193</v>
      </c>
      <c r="H20" s="265" t="s">
        <v>194</v>
      </c>
      <c r="I20" s="278">
        <f t="shared" si="0"/>
        <v>2304</v>
      </c>
      <c r="J20" s="279">
        <f>215+29.5</f>
        <v>244.5</v>
      </c>
      <c r="K20" s="280">
        <f t="shared" si="1"/>
        <v>2059.5</v>
      </c>
      <c r="L20" s="281" t="s">
        <v>19</v>
      </c>
      <c r="M20" s="278" t="s">
        <v>20</v>
      </c>
      <c r="N20" s="281">
        <v>64</v>
      </c>
      <c r="O20" s="281">
        <v>49</v>
      </c>
      <c r="P20" s="281"/>
      <c r="Q20" s="280">
        <v>187.8</v>
      </c>
      <c r="R20" s="280">
        <f t="shared" si="11"/>
        <v>187.8</v>
      </c>
      <c r="S20" s="2" t="s">
        <v>2</v>
      </c>
      <c r="T20" s="282">
        <f t="shared" si="3"/>
        <v>9.1187181354697749E-2</v>
      </c>
      <c r="U20" s="2">
        <f t="shared" si="4"/>
        <v>2</v>
      </c>
      <c r="V20" s="2">
        <v>5</v>
      </c>
      <c r="W20" s="283">
        <f t="shared" si="5"/>
        <v>18780000</v>
      </c>
      <c r="X20" s="283">
        <f t="shared" si="6"/>
        <v>1878000</v>
      </c>
      <c r="Y20" s="283">
        <f t="shared" si="7"/>
        <v>56340000</v>
      </c>
      <c r="Z20" s="283">
        <f t="shared" si="8"/>
        <v>5100000</v>
      </c>
      <c r="AA20" s="283">
        <f t="shared" si="9"/>
        <v>82098000</v>
      </c>
    </row>
    <row r="21" spans="1:27" s="284" customFormat="1" ht="101.25" customHeight="1" x14ac:dyDescent="0.25">
      <c r="A21" s="2">
        <f>MAX($A$5:A20)+1</f>
        <v>16</v>
      </c>
      <c r="B21" s="54">
        <v>55</v>
      </c>
      <c r="C21" s="54">
        <v>13</v>
      </c>
      <c r="D21" s="54">
        <v>1</v>
      </c>
      <c r="E21" s="13" t="s">
        <v>227</v>
      </c>
      <c r="F21" s="278">
        <v>6</v>
      </c>
      <c r="G21" s="264" t="s">
        <v>195</v>
      </c>
      <c r="H21" s="265" t="s">
        <v>196</v>
      </c>
      <c r="I21" s="278">
        <f t="shared" si="0"/>
        <v>2304</v>
      </c>
      <c r="J21" s="279">
        <v>0</v>
      </c>
      <c r="K21" s="280">
        <f t="shared" si="1"/>
        <v>2304</v>
      </c>
      <c r="L21" s="281" t="s">
        <v>19</v>
      </c>
      <c r="M21" s="278" t="s">
        <v>20</v>
      </c>
      <c r="N21" s="281">
        <v>64</v>
      </c>
      <c r="O21" s="281">
        <v>50</v>
      </c>
      <c r="P21" s="281"/>
      <c r="Q21" s="280">
        <v>171.1</v>
      </c>
      <c r="R21" s="280">
        <f t="shared" si="11"/>
        <v>171.1</v>
      </c>
      <c r="S21" s="2" t="s">
        <v>2</v>
      </c>
      <c r="T21" s="282">
        <f t="shared" si="3"/>
        <v>7.4262152777777771E-2</v>
      </c>
      <c r="U21" s="2">
        <f t="shared" si="4"/>
        <v>2</v>
      </c>
      <c r="V21" s="2">
        <v>5</v>
      </c>
      <c r="W21" s="283">
        <f t="shared" si="5"/>
        <v>17110000</v>
      </c>
      <c r="X21" s="283">
        <f t="shared" si="6"/>
        <v>1711000</v>
      </c>
      <c r="Y21" s="283">
        <f t="shared" si="7"/>
        <v>51330000</v>
      </c>
      <c r="Z21" s="283">
        <f t="shared" si="8"/>
        <v>5100000</v>
      </c>
      <c r="AA21" s="283">
        <f t="shared" si="9"/>
        <v>75251000</v>
      </c>
    </row>
    <row r="22" spans="1:27" s="284" customFormat="1" ht="108.75" customHeight="1" x14ac:dyDescent="0.25">
      <c r="A22" s="2">
        <f>MAX($A$5:A21)+1</f>
        <v>17</v>
      </c>
      <c r="B22" s="54">
        <v>144</v>
      </c>
      <c r="C22" s="54">
        <v>13</v>
      </c>
      <c r="D22" s="54">
        <v>1</v>
      </c>
      <c r="E22" s="13" t="s">
        <v>228</v>
      </c>
      <c r="F22" s="278">
        <v>7</v>
      </c>
      <c r="G22" s="264" t="s">
        <v>197</v>
      </c>
      <c r="H22" s="281"/>
      <c r="I22" s="278">
        <f t="shared" si="0"/>
        <v>2688</v>
      </c>
      <c r="J22" s="279">
        <f>609+844.4+153</f>
        <v>1606.4</v>
      </c>
      <c r="K22" s="280">
        <f t="shared" si="1"/>
        <v>1081.5999999999999</v>
      </c>
      <c r="L22" s="281" t="s">
        <v>19</v>
      </c>
      <c r="M22" s="278" t="s">
        <v>21</v>
      </c>
      <c r="N22" s="281">
        <v>64</v>
      </c>
      <c r="O22" s="281">
        <v>125</v>
      </c>
      <c r="P22" s="281"/>
      <c r="Q22" s="280">
        <v>46.8</v>
      </c>
      <c r="R22" s="280">
        <f t="shared" si="11"/>
        <v>46.8</v>
      </c>
      <c r="S22" s="2" t="s">
        <v>2</v>
      </c>
      <c r="T22" s="282">
        <f t="shared" si="3"/>
        <v>4.3269230769230768E-2</v>
      </c>
      <c r="U22" s="2">
        <f t="shared" si="4"/>
        <v>2</v>
      </c>
      <c r="V22" s="2">
        <v>7</v>
      </c>
      <c r="W22" s="283">
        <f t="shared" si="5"/>
        <v>4680000</v>
      </c>
      <c r="X22" s="283">
        <f t="shared" si="6"/>
        <v>468000</v>
      </c>
      <c r="Y22" s="283">
        <f t="shared" si="7"/>
        <v>14040000</v>
      </c>
      <c r="Z22" s="283">
        <f t="shared" si="8"/>
        <v>7140000</v>
      </c>
      <c r="AA22" s="283">
        <f t="shared" si="9"/>
        <v>26328000</v>
      </c>
    </row>
    <row r="23" spans="1:27" s="284" customFormat="1" ht="93.75" customHeight="1" x14ac:dyDescent="0.25">
      <c r="A23" s="2">
        <f>MAX($A$5:A22)+1</f>
        <v>18</v>
      </c>
      <c r="B23" s="54">
        <v>74</v>
      </c>
      <c r="C23" s="54">
        <v>13</v>
      </c>
      <c r="D23" s="54">
        <v>1</v>
      </c>
      <c r="E23" s="13" t="s">
        <v>65</v>
      </c>
      <c r="F23" s="278">
        <v>6</v>
      </c>
      <c r="G23" s="264" t="s">
        <v>198</v>
      </c>
      <c r="H23" s="265" t="s">
        <v>199</v>
      </c>
      <c r="I23" s="278">
        <f t="shared" si="0"/>
        <v>2304</v>
      </c>
      <c r="J23" s="279">
        <f>458+102.9+393.1+130</f>
        <v>1084</v>
      </c>
      <c r="K23" s="280">
        <f t="shared" si="1"/>
        <v>1220</v>
      </c>
      <c r="L23" s="281" t="s">
        <v>19</v>
      </c>
      <c r="M23" s="278" t="s">
        <v>21</v>
      </c>
      <c r="N23" s="281">
        <v>64</v>
      </c>
      <c r="O23" s="281">
        <v>124</v>
      </c>
      <c r="P23" s="281"/>
      <c r="Q23" s="280">
        <v>51</v>
      </c>
      <c r="R23" s="280">
        <f t="shared" si="11"/>
        <v>51</v>
      </c>
      <c r="S23" s="2" t="s">
        <v>2</v>
      </c>
      <c r="T23" s="282">
        <f t="shared" si="3"/>
        <v>4.1803278688524591E-2</v>
      </c>
      <c r="U23" s="2">
        <f t="shared" si="4"/>
        <v>2</v>
      </c>
      <c r="V23" s="2">
        <v>7</v>
      </c>
      <c r="W23" s="283">
        <f t="shared" si="5"/>
        <v>5100000</v>
      </c>
      <c r="X23" s="283">
        <f t="shared" si="6"/>
        <v>510000</v>
      </c>
      <c r="Y23" s="283">
        <f t="shared" si="7"/>
        <v>15300000</v>
      </c>
      <c r="Z23" s="283">
        <f t="shared" si="8"/>
        <v>7140000</v>
      </c>
      <c r="AA23" s="283">
        <f t="shared" si="9"/>
        <v>28050000</v>
      </c>
    </row>
    <row r="24" spans="1:27" s="284" customFormat="1" ht="102.75" customHeight="1" x14ac:dyDescent="0.25">
      <c r="A24" s="2">
        <f>MAX($A$5:A23)+1</f>
        <v>19</v>
      </c>
      <c r="B24" s="54">
        <v>129</v>
      </c>
      <c r="C24" s="54">
        <v>13</v>
      </c>
      <c r="D24" s="54">
        <v>1</v>
      </c>
      <c r="E24" s="13" t="s">
        <v>229</v>
      </c>
      <c r="F24" s="278">
        <v>6</v>
      </c>
      <c r="G24" s="264" t="s">
        <v>200</v>
      </c>
      <c r="H24" s="265" t="s">
        <v>201</v>
      </c>
      <c r="I24" s="278">
        <f t="shared" si="0"/>
        <v>2304</v>
      </c>
      <c r="J24" s="279">
        <f>427+95</f>
        <v>522</v>
      </c>
      <c r="K24" s="280">
        <f t="shared" si="1"/>
        <v>1782</v>
      </c>
      <c r="L24" s="281" t="s">
        <v>19</v>
      </c>
      <c r="M24" s="278" t="s">
        <v>21</v>
      </c>
      <c r="N24" s="281">
        <v>64</v>
      </c>
      <c r="O24" s="281">
        <v>152</v>
      </c>
      <c r="P24" s="281"/>
      <c r="Q24" s="280">
        <v>63.3</v>
      </c>
      <c r="R24" s="280">
        <f t="shared" si="11"/>
        <v>63.3</v>
      </c>
      <c r="S24" s="2" t="s">
        <v>2</v>
      </c>
      <c r="T24" s="282">
        <f t="shared" si="3"/>
        <v>3.5521885521885517E-2</v>
      </c>
      <c r="U24" s="2">
        <f t="shared" si="4"/>
        <v>2</v>
      </c>
      <c r="V24" s="2">
        <v>5</v>
      </c>
      <c r="W24" s="283">
        <f t="shared" si="5"/>
        <v>6330000</v>
      </c>
      <c r="X24" s="283">
        <f t="shared" si="6"/>
        <v>633000</v>
      </c>
      <c r="Y24" s="283">
        <f t="shared" si="7"/>
        <v>18990000</v>
      </c>
      <c r="Z24" s="283">
        <f t="shared" si="8"/>
        <v>5100000</v>
      </c>
      <c r="AA24" s="283">
        <f t="shared" si="9"/>
        <v>31053000</v>
      </c>
    </row>
    <row r="25" spans="1:27" s="284" customFormat="1" ht="60.75" customHeight="1" x14ac:dyDescent="0.25">
      <c r="A25" s="2">
        <f>MAX($A$5:A24)+1</f>
        <v>20</v>
      </c>
      <c r="B25" s="54">
        <v>71</v>
      </c>
      <c r="C25" s="54">
        <v>11</v>
      </c>
      <c r="D25" s="54">
        <v>1</v>
      </c>
      <c r="E25" s="13" t="s">
        <v>66</v>
      </c>
      <c r="F25" s="278">
        <v>3</v>
      </c>
      <c r="G25" s="265" t="s">
        <v>202</v>
      </c>
      <c r="H25" s="281"/>
      <c r="I25" s="278">
        <f t="shared" si="0"/>
        <v>1152</v>
      </c>
      <c r="J25" s="279">
        <v>0</v>
      </c>
      <c r="K25" s="280">
        <f t="shared" si="1"/>
        <v>1152</v>
      </c>
      <c r="L25" s="281" t="s">
        <v>19</v>
      </c>
      <c r="M25" s="278" t="s">
        <v>21</v>
      </c>
      <c r="N25" s="281">
        <v>64</v>
      </c>
      <c r="O25" s="281">
        <v>163</v>
      </c>
      <c r="P25" s="281"/>
      <c r="Q25" s="280">
        <v>293.7</v>
      </c>
      <c r="R25" s="280">
        <f t="shared" si="11"/>
        <v>293.7</v>
      </c>
      <c r="S25" s="2" t="s">
        <v>2</v>
      </c>
      <c r="T25" s="282">
        <f t="shared" si="3"/>
        <v>0.25494791666666666</v>
      </c>
      <c r="U25" s="2">
        <f t="shared" si="4"/>
        <v>5</v>
      </c>
      <c r="V25" s="2">
        <v>4</v>
      </c>
      <c r="W25" s="283">
        <f t="shared" si="5"/>
        <v>29370000</v>
      </c>
      <c r="X25" s="283">
        <f t="shared" si="6"/>
        <v>2937000</v>
      </c>
      <c r="Y25" s="283">
        <f t="shared" si="7"/>
        <v>88110000</v>
      </c>
      <c r="Z25" s="283">
        <f t="shared" si="8"/>
        <v>10200000</v>
      </c>
      <c r="AA25" s="283">
        <f t="shared" si="9"/>
        <v>130617000</v>
      </c>
    </row>
    <row r="26" spans="1:27" s="284" customFormat="1" ht="108.75" customHeight="1" x14ac:dyDescent="0.25">
      <c r="A26" s="2">
        <f>MAX($A$5:A25)+1</f>
        <v>21</v>
      </c>
      <c r="B26" s="54">
        <v>14</v>
      </c>
      <c r="C26" s="54">
        <v>12</v>
      </c>
      <c r="D26" s="54">
        <v>1</v>
      </c>
      <c r="E26" s="13" t="s">
        <v>262</v>
      </c>
      <c r="F26" s="278">
        <v>6</v>
      </c>
      <c r="G26" s="265" t="s">
        <v>203</v>
      </c>
      <c r="H26" s="264" t="s">
        <v>204</v>
      </c>
      <c r="I26" s="278">
        <f t="shared" si="0"/>
        <v>2304</v>
      </c>
      <c r="J26" s="279">
        <f>419+32+8+380</f>
        <v>839</v>
      </c>
      <c r="K26" s="280">
        <f t="shared" si="1"/>
        <v>1465</v>
      </c>
      <c r="L26" s="281" t="s">
        <v>19</v>
      </c>
      <c r="M26" s="278" t="s">
        <v>22</v>
      </c>
      <c r="N26" s="281">
        <v>64</v>
      </c>
      <c r="O26" s="281">
        <v>200</v>
      </c>
      <c r="P26" s="281"/>
      <c r="Q26" s="280">
        <v>284.60000000000002</v>
      </c>
      <c r="R26" s="280">
        <f>Q26</f>
        <v>284.60000000000002</v>
      </c>
      <c r="S26" s="2" t="s">
        <v>2</v>
      </c>
      <c r="T26" s="282">
        <f t="shared" si="3"/>
        <v>0.19426621160409557</v>
      </c>
      <c r="U26" s="2">
        <f t="shared" si="4"/>
        <v>3</v>
      </c>
      <c r="V26" s="2">
        <v>5</v>
      </c>
      <c r="W26" s="283">
        <f t="shared" si="5"/>
        <v>28460000.000000004</v>
      </c>
      <c r="X26" s="283">
        <f t="shared" si="6"/>
        <v>2846000</v>
      </c>
      <c r="Y26" s="283">
        <f t="shared" si="7"/>
        <v>85380000</v>
      </c>
      <c r="Z26" s="283">
        <f t="shared" si="8"/>
        <v>7650000</v>
      </c>
      <c r="AA26" s="283">
        <f t="shared" si="9"/>
        <v>124336000</v>
      </c>
    </row>
    <row r="27" spans="1:27" s="284" customFormat="1" ht="82.5" customHeight="1" x14ac:dyDescent="0.25">
      <c r="A27" s="2">
        <f>MAX($A$5:A26)+1</f>
        <v>22</v>
      </c>
      <c r="B27" s="54">
        <v>128.137</v>
      </c>
      <c r="C27" s="54">
        <v>12</v>
      </c>
      <c r="D27" s="54">
        <v>1</v>
      </c>
      <c r="E27" s="13" t="s">
        <v>205</v>
      </c>
      <c r="F27" s="278">
        <v>5</v>
      </c>
      <c r="G27" s="265" t="s">
        <v>206</v>
      </c>
      <c r="H27" s="281"/>
      <c r="I27" s="278">
        <f>F27*384+60</f>
        <v>1980</v>
      </c>
      <c r="J27" s="279">
        <f>43+349+918</f>
        <v>1310</v>
      </c>
      <c r="K27" s="280">
        <f t="shared" si="1"/>
        <v>670</v>
      </c>
      <c r="L27" s="281" t="s">
        <v>19</v>
      </c>
      <c r="M27" s="278" t="s">
        <v>22</v>
      </c>
      <c r="N27" s="281">
        <v>64</v>
      </c>
      <c r="O27" s="281">
        <v>199</v>
      </c>
      <c r="P27" s="281"/>
      <c r="Q27" s="280">
        <v>63.9</v>
      </c>
      <c r="R27" s="280">
        <f t="shared" ref="R27:R33" si="12">Q27</f>
        <v>63.9</v>
      </c>
      <c r="S27" s="2" t="s">
        <v>2</v>
      </c>
      <c r="T27" s="282">
        <f t="shared" si="3"/>
        <v>9.53731343283582E-2</v>
      </c>
      <c r="U27" s="2">
        <f t="shared" si="4"/>
        <v>2</v>
      </c>
      <c r="V27" s="2">
        <v>4</v>
      </c>
      <c r="W27" s="283">
        <f t="shared" si="5"/>
        <v>6390000</v>
      </c>
      <c r="X27" s="283">
        <f t="shared" si="6"/>
        <v>639000</v>
      </c>
      <c r="Y27" s="283">
        <f t="shared" si="7"/>
        <v>19170000</v>
      </c>
      <c r="Z27" s="283">
        <f t="shared" si="8"/>
        <v>4080000</v>
      </c>
      <c r="AA27" s="283">
        <f t="shared" si="9"/>
        <v>30279000</v>
      </c>
    </row>
    <row r="28" spans="1:27" s="284" customFormat="1" ht="54" customHeight="1" x14ac:dyDescent="0.25">
      <c r="A28" s="2">
        <f>MAX($A$5:A27)+1</f>
        <v>23</v>
      </c>
      <c r="B28" s="54">
        <v>119</v>
      </c>
      <c r="C28" s="54">
        <v>12</v>
      </c>
      <c r="D28" s="54">
        <v>1</v>
      </c>
      <c r="E28" s="13" t="s">
        <v>207</v>
      </c>
      <c r="F28" s="278">
        <v>3</v>
      </c>
      <c r="G28" s="264" t="s">
        <v>208</v>
      </c>
      <c r="H28" s="265" t="s">
        <v>209</v>
      </c>
      <c r="I28" s="278">
        <f t="shared" si="0"/>
        <v>1152</v>
      </c>
      <c r="J28" s="279">
        <v>499.8</v>
      </c>
      <c r="K28" s="280">
        <f t="shared" si="1"/>
        <v>652.20000000000005</v>
      </c>
      <c r="L28" s="281" t="s">
        <v>19</v>
      </c>
      <c r="M28" s="278" t="s">
        <v>22</v>
      </c>
      <c r="N28" s="281">
        <v>64</v>
      </c>
      <c r="O28" s="281">
        <v>198</v>
      </c>
      <c r="P28" s="281"/>
      <c r="Q28" s="280">
        <v>311.5</v>
      </c>
      <c r="R28" s="280">
        <f t="shared" si="12"/>
        <v>311.5</v>
      </c>
      <c r="S28" s="2" t="s">
        <v>2</v>
      </c>
      <c r="T28" s="282">
        <f t="shared" si="3"/>
        <v>0.47761422876418275</v>
      </c>
      <c r="U28" s="2">
        <f t="shared" si="4"/>
        <v>6</v>
      </c>
      <c r="V28" s="2">
        <v>3</v>
      </c>
      <c r="W28" s="283">
        <f t="shared" si="5"/>
        <v>31150000</v>
      </c>
      <c r="X28" s="283">
        <f t="shared" si="6"/>
        <v>3115000</v>
      </c>
      <c r="Y28" s="283">
        <f t="shared" si="7"/>
        <v>93450000</v>
      </c>
      <c r="Z28" s="283">
        <f t="shared" si="8"/>
        <v>9180000</v>
      </c>
      <c r="AA28" s="283">
        <f t="shared" si="9"/>
        <v>136895000</v>
      </c>
    </row>
    <row r="29" spans="1:27" s="284" customFormat="1" ht="68.25" customHeight="1" x14ac:dyDescent="0.25">
      <c r="A29" s="2">
        <f>MAX($A$5:A28)+1</f>
        <v>24</v>
      </c>
      <c r="B29" s="54">
        <v>43</v>
      </c>
      <c r="C29" s="54">
        <v>12</v>
      </c>
      <c r="D29" s="54">
        <v>1</v>
      </c>
      <c r="E29" s="13" t="s">
        <v>210</v>
      </c>
      <c r="F29" s="278">
        <v>4</v>
      </c>
      <c r="G29" s="264" t="s">
        <v>211</v>
      </c>
      <c r="H29" s="265" t="s">
        <v>212</v>
      </c>
      <c r="I29" s="278">
        <f t="shared" si="0"/>
        <v>1536</v>
      </c>
      <c r="J29" s="279">
        <v>463</v>
      </c>
      <c r="K29" s="280">
        <f t="shared" si="1"/>
        <v>1073</v>
      </c>
      <c r="L29" s="281" t="s">
        <v>19</v>
      </c>
      <c r="M29" s="278" t="s">
        <v>22</v>
      </c>
      <c r="N29" s="281">
        <v>64</v>
      </c>
      <c r="O29" s="281">
        <v>197</v>
      </c>
      <c r="P29" s="281"/>
      <c r="Q29" s="280">
        <v>336.1</v>
      </c>
      <c r="R29" s="280">
        <f t="shared" si="12"/>
        <v>336.1</v>
      </c>
      <c r="S29" s="2" t="s">
        <v>2</v>
      </c>
      <c r="T29" s="282">
        <f t="shared" si="3"/>
        <v>0.31323392357875118</v>
      </c>
      <c r="U29" s="2">
        <f t="shared" si="4"/>
        <v>6</v>
      </c>
      <c r="V29" s="2">
        <v>4</v>
      </c>
      <c r="W29" s="283">
        <f t="shared" si="5"/>
        <v>33610000</v>
      </c>
      <c r="X29" s="283">
        <f t="shared" si="6"/>
        <v>3361000</v>
      </c>
      <c r="Y29" s="283">
        <f t="shared" si="7"/>
        <v>100830000</v>
      </c>
      <c r="Z29" s="283">
        <f t="shared" si="8"/>
        <v>12240000</v>
      </c>
      <c r="AA29" s="283">
        <f t="shared" si="9"/>
        <v>150041000</v>
      </c>
    </row>
    <row r="30" spans="1:27" s="284" customFormat="1" ht="89.25" customHeight="1" x14ac:dyDescent="0.25">
      <c r="A30" s="2">
        <f>MAX($A$5:A29)+1</f>
        <v>25</v>
      </c>
      <c r="B30" s="54">
        <v>55</v>
      </c>
      <c r="C30" s="54">
        <v>12</v>
      </c>
      <c r="D30" s="54">
        <v>1</v>
      </c>
      <c r="E30" s="13" t="s">
        <v>213</v>
      </c>
      <c r="F30" s="278">
        <v>5</v>
      </c>
      <c r="G30" s="13" t="s">
        <v>214</v>
      </c>
      <c r="H30" s="285" t="s">
        <v>215</v>
      </c>
      <c r="I30" s="278">
        <f t="shared" si="0"/>
        <v>1920</v>
      </c>
      <c r="J30" s="279">
        <v>0</v>
      </c>
      <c r="K30" s="280">
        <f t="shared" si="1"/>
        <v>1920</v>
      </c>
      <c r="L30" s="281" t="s">
        <v>19</v>
      </c>
      <c r="M30" s="278"/>
      <c r="N30" s="281">
        <v>64</v>
      </c>
      <c r="O30" s="281">
        <v>196</v>
      </c>
      <c r="P30" s="281"/>
      <c r="Q30" s="280">
        <v>373.2</v>
      </c>
      <c r="R30" s="280">
        <f t="shared" si="12"/>
        <v>373.2</v>
      </c>
      <c r="S30" s="2" t="s">
        <v>2</v>
      </c>
      <c r="T30" s="282">
        <f t="shared" si="3"/>
        <v>0.19437499999999999</v>
      </c>
      <c r="U30" s="2">
        <f t="shared" si="4"/>
        <v>3</v>
      </c>
      <c r="V30" s="2">
        <v>5</v>
      </c>
      <c r="W30" s="283">
        <f t="shared" si="5"/>
        <v>37320000</v>
      </c>
      <c r="X30" s="283">
        <f t="shared" si="6"/>
        <v>3732000</v>
      </c>
      <c r="Y30" s="283">
        <f t="shared" si="7"/>
        <v>111960000</v>
      </c>
      <c r="Z30" s="283">
        <f t="shared" si="8"/>
        <v>7650000</v>
      </c>
      <c r="AA30" s="283">
        <f t="shared" si="9"/>
        <v>160662000</v>
      </c>
    </row>
    <row r="31" spans="1:27" s="284" customFormat="1" ht="69" customHeight="1" x14ac:dyDescent="0.25">
      <c r="A31" s="2">
        <f>MAX($A$5:A30)+1</f>
        <v>26</v>
      </c>
      <c r="B31" s="54">
        <v>129</v>
      </c>
      <c r="C31" s="54">
        <v>12</v>
      </c>
      <c r="D31" s="54">
        <v>1</v>
      </c>
      <c r="E31" s="13" t="s">
        <v>216</v>
      </c>
      <c r="F31" s="278">
        <v>4</v>
      </c>
      <c r="G31" s="264" t="s">
        <v>217</v>
      </c>
      <c r="H31" s="265" t="s">
        <v>218</v>
      </c>
      <c r="I31" s="278">
        <f t="shared" si="0"/>
        <v>1536</v>
      </c>
      <c r="J31" s="279">
        <v>340</v>
      </c>
      <c r="K31" s="280">
        <f t="shared" si="1"/>
        <v>1196</v>
      </c>
      <c r="L31" s="281" t="s">
        <v>19</v>
      </c>
      <c r="M31" s="278"/>
      <c r="N31" s="281">
        <v>64</v>
      </c>
      <c r="O31" s="281">
        <v>246</v>
      </c>
      <c r="P31" s="281"/>
      <c r="Q31" s="280">
        <v>314.2</v>
      </c>
      <c r="R31" s="280">
        <f t="shared" si="12"/>
        <v>314.2</v>
      </c>
      <c r="S31" s="2" t="s">
        <v>2</v>
      </c>
      <c r="T31" s="282">
        <f t="shared" si="3"/>
        <v>0.26270903010033442</v>
      </c>
      <c r="U31" s="2">
        <f t="shared" si="4"/>
        <v>5</v>
      </c>
      <c r="V31" s="2">
        <v>3</v>
      </c>
      <c r="W31" s="283">
        <f t="shared" si="5"/>
        <v>31420000</v>
      </c>
      <c r="X31" s="283">
        <f t="shared" si="6"/>
        <v>3142000</v>
      </c>
      <c r="Y31" s="283">
        <f t="shared" si="7"/>
        <v>94260000</v>
      </c>
      <c r="Z31" s="283">
        <f t="shared" si="8"/>
        <v>7650000</v>
      </c>
      <c r="AA31" s="283">
        <f t="shared" si="9"/>
        <v>136472000</v>
      </c>
    </row>
    <row r="32" spans="1:27" s="284" customFormat="1" ht="87" customHeight="1" x14ac:dyDescent="0.25">
      <c r="A32" s="2">
        <f>MAX($A$5:A31)+1</f>
        <v>27</v>
      </c>
      <c r="B32" s="54">
        <v>42</v>
      </c>
      <c r="C32" s="54">
        <v>12</v>
      </c>
      <c r="D32" s="54">
        <v>1</v>
      </c>
      <c r="E32" s="13" t="s">
        <v>219</v>
      </c>
      <c r="F32" s="278">
        <v>5</v>
      </c>
      <c r="G32" s="264" t="s">
        <v>220</v>
      </c>
      <c r="H32" s="264" t="s">
        <v>221</v>
      </c>
      <c r="I32" s="278">
        <f t="shared" si="0"/>
        <v>1920</v>
      </c>
      <c r="J32" s="279">
        <f>31+5.5+224+8.1+205.9+465</f>
        <v>939.5</v>
      </c>
      <c r="K32" s="280">
        <f t="shared" si="1"/>
        <v>980.5</v>
      </c>
      <c r="L32" s="281" t="s">
        <v>19</v>
      </c>
      <c r="M32" s="278"/>
      <c r="N32" s="281">
        <v>64</v>
      </c>
      <c r="O32" s="281">
        <v>247</v>
      </c>
      <c r="P32" s="281"/>
      <c r="Q32" s="280">
        <v>139.4</v>
      </c>
      <c r="R32" s="280">
        <f t="shared" si="12"/>
        <v>139.4</v>
      </c>
      <c r="S32" s="2" t="s">
        <v>2</v>
      </c>
      <c r="T32" s="282">
        <f t="shared" si="3"/>
        <v>0.14217236104028558</v>
      </c>
      <c r="U32" s="2">
        <f t="shared" si="4"/>
        <v>3</v>
      </c>
      <c r="V32" s="2">
        <v>8</v>
      </c>
      <c r="W32" s="283">
        <f t="shared" si="5"/>
        <v>13940000</v>
      </c>
      <c r="X32" s="283">
        <f t="shared" si="6"/>
        <v>1394000</v>
      </c>
      <c r="Y32" s="283">
        <f t="shared" si="7"/>
        <v>41820000</v>
      </c>
      <c r="Z32" s="283">
        <f t="shared" si="8"/>
        <v>12240000</v>
      </c>
      <c r="AA32" s="283">
        <f t="shared" si="9"/>
        <v>69394000</v>
      </c>
    </row>
    <row r="33" spans="1:27" s="284" customFormat="1" ht="174" customHeight="1" x14ac:dyDescent="0.25">
      <c r="A33" s="2">
        <f>MAX($A$5:A32)+1</f>
        <v>28</v>
      </c>
      <c r="B33" s="54">
        <v>38</v>
      </c>
      <c r="C33" s="54">
        <v>12</v>
      </c>
      <c r="D33" s="54">
        <v>1</v>
      </c>
      <c r="E33" s="13" t="s">
        <v>222</v>
      </c>
      <c r="F33" s="278">
        <v>10</v>
      </c>
      <c r="G33" s="264" t="s">
        <v>223</v>
      </c>
      <c r="H33" s="281"/>
      <c r="I33" s="278">
        <f t="shared" si="0"/>
        <v>3840</v>
      </c>
      <c r="J33" s="279">
        <f>2+3.1+437+271.9+359.4</f>
        <v>1073.4000000000001</v>
      </c>
      <c r="K33" s="280">
        <f t="shared" si="1"/>
        <v>2766.6</v>
      </c>
      <c r="L33" s="281" t="s">
        <v>19</v>
      </c>
      <c r="M33" s="278"/>
      <c r="N33" s="281">
        <v>64</v>
      </c>
      <c r="O33" s="281">
        <v>248</v>
      </c>
      <c r="P33" s="281"/>
      <c r="Q33" s="280">
        <v>7.3</v>
      </c>
      <c r="R33" s="280">
        <f t="shared" si="12"/>
        <v>7.3</v>
      </c>
      <c r="S33" s="2" t="s">
        <v>2</v>
      </c>
      <c r="T33" s="282">
        <f t="shared" si="3"/>
        <v>2.6386177980192295E-3</v>
      </c>
      <c r="U33" s="2">
        <f t="shared" si="4"/>
        <v>2</v>
      </c>
      <c r="V33" s="2">
        <v>10</v>
      </c>
      <c r="W33" s="283">
        <f t="shared" si="5"/>
        <v>730000</v>
      </c>
      <c r="X33" s="283">
        <f t="shared" si="6"/>
        <v>73000</v>
      </c>
      <c r="Y33" s="283">
        <f t="shared" si="7"/>
        <v>2190000</v>
      </c>
      <c r="Z33" s="283">
        <f t="shared" si="8"/>
        <v>10200000</v>
      </c>
      <c r="AA33" s="283">
        <f t="shared" si="9"/>
        <v>13193000</v>
      </c>
    </row>
    <row r="34" spans="1:27" ht="27.75" customHeight="1" x14ac:dyDescent="0.25">
      <c r="A34" s="375" t="s">
        <v>3</v>
      </c>
      <c r="B34" s="376"/>
      <c r="C34" s="376"/>
      <c r="D34" s="376"/>
      <c r="E34" s="377"/>
      <c r="F34" s="55"/>
      <c r="G34" s="263"/>
      <c r="H34" s="263"/>
      <c r="I34" s="55"/>
      <c r="J34" s="55"/>
      <c r="K34" s="219"/>
      <c r="L34" s="1"/>
      <c r="M34" s="54"/>
      <c r="N34" s="1"/>
      <c r="O34" s="1"/>
      <c r="P34" s="1"/>
      <c r="Q34" s="3">
        <f>SUM(Q6:Q33)</f>
        <v>4917.4000000000005</v>
      </c>
      <c r="R34" s="3">
        <f>SUM(R6:R33)</f>
        <v>4917.4000000000005</v>
      </c>
      <c r="S34" s="1"/>
      <c r="T34" s="30"/>
      <c r="U34" s="2"/>
      <c r="V34" s="2"/>
      <c r="W34" s="66">
        <f t="shared" ref="W34:AA34" si="13">SUM(W6:W33)</f>
        <v>491740000</v>
      </c>
      <c r="X34" s="66">
        <f t="shared" si="13"/>
        <v>49174000</v>
      </c>
      <c r="Y34" s="66">
        <f t="shared" si="13"/>
        <v>1475220000</v>
      </c>
      <c r="Z34" s="66">
        <f t="shared" si="13"/>
        <v>194820000</v>
      </c>
      <c r="AA34" s="66">
        <f t="shared" si="13"/>
        <v>2210954000</v>
      </c>
    </row>
  </sheetData>
  <autoFilter ref="A5:AA34"/>
  <mergeCells count="20">
    <mergeCell ref="A34:E34"/>
    <mergeCell ref="A4:A5"/>
    <mergeCell ref="E4:E5"/>
    <mergeCell ref="B4:B5"/>
    <mergeCell ref="G4:G5"/>
    <mergeCell ref="A1:AA1"/>
    <mergeCell ref="L4:L5"/>
    <mergeCell ref="M4:S4"/>
    <mergeCell ref="F4:F5"/>
    <mergeCell ref="A2:AA2"/>
    <mergeCell ref="AA4:AA5"/>
    <mergeCell ref="A3:AA3"/>
    <mergeCell ref="H4:H5"/>
    <mergeCell ref="T4:T5"/>
    <mergeCell ref="U4:U5"/>
    <mergeCell ref="V4:V5"/>
    <mergeCell ref="W4:Z4"/>
    <mergeCell ref="I4:I5"/>
    <mergeCell ref="J4:J5"/>
    <mergeCell ref="K4:K5"/>
  </mergeCells>
  <conditionalFormatting sqref="E3:E1048576">
    <cfRule type="duplicateValues" dxfId="46" priority="47"/>
  </conditionalFormatting>
  <conditionalFormatting sqref="G6">
    <cfRule type="duplicateValues" dxfId="45" priority="46"/>
  </conditionalFormatting>
  <conditionalFormatting sqref="H6">
    <cfRule type="duplicateValues" dxfId="44" priority="45"/>
  </conditionalFormatting>
  <conditionalFormatting sqref="G7">
    <cfRule type="duplicateValues" dxfId="43" priority="44"/>
  </conditionalFormatting>
  <conditionalFormatting sqref="G8">
    <cfRule type="duplicateValues" dxfId="42" priority="43"/>
  </conditionalFormatting>
  <conditionalFormatting sqref="H8">
    <cfRule type="duplicateValues" dxfId="41" priority="42"/>
  </conditionalFormatting>
  <conditionalFormatting sqref="G9">
    <cfRule type="duplicateValues" dxfId="40" priority="41"/>
  </conditionalFormatting>
  <conditionalFormatting sqref="H9">
    <cfRule type="duplicateValues" dxfId="39" priority="40"/>
  </conditionalFormatting>
  <conditionalFormatting sqref="G10">
    <cfRule type="duplicateValues" dxfId="38" priority="39"/>
  </conditionalFormatting>
  <conditionalFormatting sqref="G11">
    <cfRule type="duplicateValues" dxfId="37" priority="38"/>
  </conditionalFormatting>
  <conditionalFormatting sqref="H11">
    <cfRule type="duplicateValues" dxfId="36" priority="37"/>
  </conditionalFormatting>
  <conditionalFormatting sqref="G12">
    <cfRule type="duplicateValues" dxfId="35" priority="36"/>
  </conditionalFormatting>
  <conditionalFormatting sqref="H12">
    <cfRule type="duplicateValues" dxfId="34" priority="35"/>
  </conditionalFormatting>
  <conditionalFormatting sqref="G13">
    <cfRule type="duplicateValues" dxfId="33" priority="34"/>
  </conditionalFormatting>
  <conditionalFormatting sqref="H13">
    <cfRule type="duplicateValues" dxfId="32" priority="33"/>
  </conditionalFormatting>
  <conditionalFormatting sqref="G14">
    <cfRule type="duplicateValues" dxfId="31" priority="32"/>
  </conditionalFormatting>
  <conditionalFormatting sqref="H14">
    <cfRule type="duplicateValues" dxfId="30" priority="31"/>
  </conditionalFormatting>
  <conditionalFormatting sqref="G15">
    <cfRule type="duplicateValues" dxfId="29" priority="30"/>
  </conditionalFormatting>
  <conditionalFormatting sqref="H15">
    <cfRule type="duplicateValues" dxfId="28" priority="29"/>
  </conditionalFormatting>
  <conditionalFormatting sqref="G16">
    <cfRule type="duplicateValues" dxfId="27" priority="28"/>
  </conditionalFormatting>
  <conditionalFormatting sqref="G17">
    <cfRule type="duplicateValues" dxfId="26" priority="27"/>
  </conditionalFormatting>
  <conditionalFormatting sqref="G18">
    <cfRule type="duplicateValues" dxfId="25" priority="26"/>
  </conditionalFormatting>
  <conditionalFormatting sqref="H18">
    <cfRule type="duplicateValues" dxfId="24" priority="25"/>
  </conditionalFormatting>
  <conditionalFormatting sqref="G19">
    <cfRule type="duplicateValues" dxfId="23" priority="24"/>
  </conditionalFormatting>
  <conditionalFormatting sqref="H19">
    <cfRule type="duplicateValues" dxfId="22" priority="23"/>
  </conditionalFormatting>
  <conditionalFormatting sqref="G20">
    <cfRule type="duplicateValues" dxfId="21" priority="22"/>
  </conditionalFormatting>
  <conditionalFormatting sqref="H20">
    <cfRule type="duplicateValues" dxfId="20" priority="21"/>
  </conditionalFormatting>
  <conditionalFormatting sqref="G21">
    <cfRule type="duplicateValues" dxfId="19" priority="20"/>
  </conditionalFormatting>
  <conditionalFormatting sqref="H21">
    <cfRule type="duplicateValues" dxfId="18" priority="19"/>
  </conditionalFormatting>
  <conditionalFormatting sqref="G22">
    <cfRule type="duplicateValues" dxfId="17" priority="18"/>
  </conditionalFormatting>
  <conditionalFormatting sqref="G23">
    <cfRule type="duplicateValues" dxfId="16" priority="17"/>
  </conditionalFormatting>
  <conditionalFormatting sqref="H23">
    <cfRule type="duplicateValues" dxfId="15" priority="16"/>
  </conditionalFormatting>
  <conditionalFormatting sqref="G24">
    <cfRule type="duplicateValues" dxfId="14" priority="15"/>
  </conditionalFormatting>
  <conditionalFormatting sqref="H24">
    <cfRule type="duplicateValues" dxfId="13" priority="14"/>
  </conditionalFormatting>
  <conditionalFormatting sqref="G25">
    <cfRule type="duplicateValues" dxfId="12" priority="13"/>
  </conditionalFormatting>
  <conditionalFormatting sqref="G26">
    <cfRule type="duplicateValues" dxfId="11" priority="12"/>
  </conditionalFormatting>
  <conditionalFormatting sqref="H26">
    <cfRule type="duplicateValues" dxfId="10" priority="11"/>
  </conditionalFormatting>
  <conditionalFormatting sqref="G27">
    <cfRule type="duplicateValues" dxfId="9" priority="10"/>
  </conditionalFormatting>
  <conditionalFormatting sqref="G28">
    <cfRule type="duplicateValues" dxfId="8" priority="9"/>
  </conditionalFormatting>
  <conditionalFormatting sqref="H28">
    <cfRule type="duplicateValues" dxfId="7" priority="8"/>
  </conditionalFormatting>
  <conditionalFormatting sqref="G29">
    <cfRule type="duplicateValues" dxfId="6" priority="7"/>
  </conditionalFormatting>
  <conditionalFormatting sqref="H29">
    <cfRule type="duplicateValues" dxfId="5" priority="6"/>
  </conditionalFormatting>
  <conditionalFormatting sqref="G31">
    <cfRule type="duplicateValues" dxfId="4" priority="5"/>
  </conditionalFormatting>
  <conditionalFormatting sqref="H31">
    <cfRule type="duplicateValues" dxfId="3" priority="4"/>
  </conditionalFormatting>
  <conditionalFormatting sqref="G32">
    <cfRule type="duplicateValues" dxfId="2" priority="3"/>
  </conditionalFormatting>
  <conditionalFormatting sqref="H32">
    <cfRule type="duplicateValues" dxfId="1" priority="2"/>
  </conditionalFormatting>
  <conditionalFormatting sqref="G33">
    <cfRule type="duplicateValues" dxfId="0" priority="1"/>
  </conditionalFormatting>
  <pageMargins left="0.15748031496062992" right="0.15748031496062992" top="0.3" bottom="0.15748031496062992" header="0.17" footer="0.17"/>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TDP Cẩm sơn</vt:lpstr>
      <vt:lpstr>TDP Dâu Bùi</vt:lpstr>
      <vt:lpstr>TDP Lỗ xá</vt:lpstr>
      <vt:lpstr>'TDP Cẩm sơn'!Print_Area</vt:lpstr>
      <vt:lpstr>'TDP Dâu Bùi'!Print_Area</vt:lpstr>
      <vt:lpstr>'TDP Lỗ xá'!Print_Area</vt:lpstr>
      <vt:lpstr>'TDP Dâu Bùi'!Print_Titles</vt:lpstr>
      <vt:lpstr>'TDP Lỗ xá'!Print_Titles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DELL</cp:lastModifiedBy>
  <cp:lastPrinted>2026-10-30T06:18:51Z</cp:lastPrinted>
  <dcterms:created xsi:type="dcterms:W3CDTF">2026-05-19T08:21:32Z</dcterms:created>
  <dcterms:modified xsi:type="dcterms:W3CDTF">2026-11-02T09:48:35Z</dcterms:modified>
</cp:coreProperties>
</file>